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elbournenyamadzawo/Desktop/CFO200/FINOVA/"/>
    </mc:Choice>
  </mc:AlternateContent>
  <xr:revisionPtr revIDLastSave="0" documentId="13_ncr:1_{8FCC1012-D647-D547-92F3-877BD2D6DE60}" xr6:coauthVersionLast="47" xr6:coauthVersionMax="47" xr10:uidLastSave="{00000000-0000-0000-0000-000000000000}"/>
  <bookViews>
    <workbookView xWindow="-4060" yWindow="-21600" windowWidth="38400" windowHeight="21600" tabRatio="936" activeTab="6" xr2:uid="{00000000-000D-0000-FFFF-FFFF00000000}"/>
  </bookViews>
  <sheets>
    <sheet name="ToC" sheetId="32" r:id="rId1"/>
    <sheet name="Instructions" sheetId="29" r:id="rId2"/>
    <sheet name="MC" sheetId="22" r:id="rId3"/>
    <sheet name="Assumptions" sheetId="1" r:id="rId4"/>
    <sheet name="Historicals &amp; Projections" sheetId="2" r:id="rId5"/>
    <sheet name="Ratio Analysis" sheetId="4" r:id="rId6"/>
    <sheet name="Revenue &amp; COGS Building" sheetId="6" r:id="rId7"/>
    <sheet name="Salaries &amp; Headcount" sheetId="30" r:id="rId8"/>
    <sheet name="Overheads" sheetId="34" r:id="rId9"/>
    <sheet name="NWC" sheetId="8" r:id="rId10"/>
    <sheet name="TA " sheetId="5" r:id="rId11"/>
    <sheet name="IA" sheetId="36" r:id="rId12"/>
    <sheet name="OTH" sheetId="25" r:id="rId13"/>
    <sheet name="FIN" sheetId="12" r:id="rId14"/>
    <sheet name="Income Tax" sheetId="31" r:id="rId15"/>
    <sheet name="PL" sheetId="10" r:id="rId16"/>
    <sheet name="BS" sheetId="9" r:id="rId17"/>
    <sheet name="CF" sheetId="11" r:id="rId18"/>
    <sheet name="VA" sheetId="17" r:id="rId19"/>
    <sheet name="RAP" sheetId="18" r:id="rId20"/>
    <sheet name="EBITDA KPIs" sheetId="28" r:id="rId21"/>
    <sheet name="BEA" sheetId="16" r:id="rId22"/>
    <sheet name="WACC" sheetId="14" r:id="rId23"/>
    <sheet name="DCF " sheetId="15" r:id="rId24"/>
    <sheet name="Multiples Valuation" sheetId="19" r:id="rId25"/>
    <sheet name="Comparables Valuation" sheetId="24" r:id="rId26"/>
  </sheets>
  <definedNames>
    <definedName name="Date_Year">'Revenue &amp; COGS Building'!$AA$61:$BV$61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6" l="1"/>
  <c r="H8" i="6"/>
  <c r="H9" i="6"/>
  <c r="H10" i="6"/>
  <c r="N35" i="34"/>
  <c r="R26" i="30"/>
  <c r="R25" i="30"/>
  <c r="P11" i="30"/>
  <c r="AB23" i="30"/>
  <c r="S23" i="30"/>
  <c r="H30" i="30"/>
  <c r="F28" i="30"/>
  <c r="H18" i="30"/>
  <c r="I18" i="30" s="1"/>
  <c r="H19" i="30"/>
  <c r="I19" i="30"/>
  <c r="H20" i="30"/>
  <c r="I20" i="30"/>
  <c r="H29" i="30"/>
  <c r="I29" i="30" s="1"/>
  <c r="I30" i="30"/>
  <c r="H31" i="30"/>
  <c r="I31" i="30" s="1"/>
  <c r="H32" i="30"/>
  <c r="I32" i="30"/>
  <c r="H33" i="30"/>
  <c r="I33" i="30" s="1"/>
  <c r="K84" i="6"/>
  <c r="L84" i="6"/>
  <c r="M84" i="6"/>
  <c r="N84" i="6"/>
  <c r="N98" i="6"/>
  <c r="N93" i="6"/>
  <c r="N78" i="6"/>
  <c r="C19" i="6"/>
  <c r="N29" i="6"/>
  <c r="N40" i="6" s="1"/>
  <c r="AA28" i="11" l="1"/>
  <c r="O12" i="6"/>
  <c r="P12" i="6" s="1"/>
  <c r="C16" i="1"/>
  <c r="E32" i="10"/>
  <c r="C22" i="11"/>
  <c r="C23" i="11"/>
  <c r="H13" i="31"/>
  <c r="D29" i="12"/>
  <c r="E29" i="12"/>
  <c r="D32" i="12"/>
  <c r="E8" i="12" s="1"/>
  <c r="D8" i="12"/>
  <c r="C10" i="25"/>
  <c r="T43" i="5"/>
  <c r="T56" i="5" s="1"/>
  <c r="V30" i="5"/>
  <c r="S30" i="5"/>
  <c r="T30" i="5" s="1"/>
  <c r="D18" i="8"/>
  <c r="E32" i="34"/>
  <c r="F32" i="34"/>
  <c r="G32" i="34"/>
  <c r="H32" i="34"/>
  <c r="I32" i="34"/>
  <c r="E34" i="34"/>
  <c r="F34" i="34"/>
  <c r="G34" i="34"/>
  <c r="H34" i="34"/>
  <c r="I34" i="34"/>
  <c r="E35" i="34"/>
  <c r="F35" i="34"/>
  <c r="G35" i="34"/>
  <c r="H35" i="34"/>
  <c r="I35" i="34"/>
  <c r="E39" i="34"/>
  <c r="F39" i="34"/>
  <c r="G39" i="34"/>
  <c r="H39" i="34"/>
  <c r="I39" i="34"/>
  <c r="E43" i="34"/>
  <c r="F43" i="34"/>
  <c r="G43" i="34"/>
  <c r="H43" i="34"/>
  <c r="I43" i="34"/>
  <c r="E44" i="34"/>
  <c r="F44" i="34"/>
  <c r="G44" i="34"/>
  <c r="H44" i="34"/>
  <c r="I44" i="34"/>
  <c r="E11" i="34"/>
  <c r="E13" i="34"/>
  <c r="E15" i="34"/>
  <c r="E16" i="34"/>
  <c r="E18" i="34"/>
  <c r="E19" i="34"/>
  <c r="E21" i="34"/>
  <c r="F10" i="30" l="1"/>
  <c r="H10" i="30"/>
  <c r="I10" i="30" s="1"/>
  <c r="J85" i="6" l="1"/>
  <c r="F32" i="5"/>
  <c r="F31" i="5"/>
  <c r="F27" i="5"/>
  <c r="D11" i="5"/>
  <c r="C3" i="16" l="1"/>
  <c r="H28" i="30"/>
  <c r="I28" i="30" s="1"/>
  <c r="H17" i="30"/>
  <c r="E21" i="30"/>
  <c r="G53" i="4"/>
  <c r="G54" i="4"/>
  <c r="G55" i="4"/>
  <c r="E53" i="4"/>
  <c r="F53" i="4"/>
  <c r="E54" i="4"/>
  <c r="F54" i="4"/>
  <c r="E55" i="4"/>
  <c r="F55" i="4"/>
  <c r="D7" i="4"/>
  <c r="I9" i="22"/>
  <c r="C11" i="1"/>
  <c r="B5" i="29"/>
  <c r="I8" i="22"/>
  <c r="E9" i="22"/>
  <c r="E7" i="22"/>
  <c r="E5" i="22"/>
  <c r="B4" i="16"/>
  <c r="N20" i="24"/>
  <c r="N19" i="24"/>
  <c r="N17" i="24"/>
  <c r="N6" i="24"/>
  <c r="M6" i="24"/>
  <c r="L6" i="24"/>
  <c r="L29" i="24"/>
  <c r="L27" i="24"/>
  <c r="C28" i="19"/>
  <c r="C25" i="19"/>
  <c r="B27" i="14"/>
  <c r="H55" i="15"/>
  <c r="H49" i="15"/>
  <c r="C47" i="15"/>
  <c r="H43" i="15" s="1"/>
  <c r="H44" i="15" s="1"/>
  <c r="G39" i="15"/>
  <c r="D82" i="2"/>
  <c r="D89" i="2"/>
  <c r="D88" i="2"/>
  <c r="G22" i="11"/>
  <c r="P22" i="11"/>
  <c r="P24" i="11"/>
  <c r="S43" i="5"/>
  <c r="S16" i="5"/>
  <c r="C10" i="14"/>
  <c r="C27" i="14" s="1"/>
  <c r="C11" i="14" l="1"/>
  <c r="C12" i="14" s="1"/>
  <c r="C18" i="14" s="1"/>
  <c r="C25" i="14" l="1"/>
  <c r="N22" i="24"/>
  <c r="N21" i="24"/>
  <c r="M19" i="24"/>
  <c r="C21" i="14"/>
  <c r="C48" i="15"/>
  <c r="C32" i="19" s="1"/>
  <c r="C53" i="15"/>
  <c r="C38" i="15"/>
  <c r="C43" i="15" s="1"/>
  <c r="D8" i="2"/>
  <c r="N26" i="11"/>
  <c r="O26" i="11"/>
  <c r="P26" i="11"/>
  <c r="D71" i="2"/>
  <c r="D69" i="2"/>
  <c r="G98" i="2"/>
  <c r="I5" i="2"/>
  <c r="H5" i="2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AE14" i="11"/>
  <c r="AF14" i="11"/>
  <c r="AG14" i="11"/>
  <c r="AH14" i="11"/>
  <c r="AI14" i="11"/>
  <c r="AJ14" i="11"/>
  <c r="AK14" i="11"/>
  <c r="AL14" i="11"/>
  <c r="O22" i="11"/>
  <c r="O24" i="11" s="1"/>
  <c r="Q22" i="11"/>
  <c r="R22" i="11"/>
  <c r="R24" i="11" s="1"/>
  <c r="S22" i="11"/>
  <c r="S24" i="11" s="1"/>
  <c r="T22" i="11"/>
  <c r="T24" i="11" s="1"/>
  <c r="U22" i="11"/>
  <c r="V22" i="11"/>
  <c r="W22" i="11"/>
  <c r="W24" i="11" s="1"/>
  <c r="X22" i="11"/>
  <c r="X24" i="11" s="1"/>
  <c r="Y22" i="11"/>
  <c r="Z22" i="11"/>
  <c r="Z24" i="11" s="1"/>
  <c r="AB22" i="11"/>
  <c r="AC22" i="11"/>
  <c r="AD22" i="11"/>
  <c r="AE22" i="11"/>
  <c r="AE24" i="11" s="1"/>
  <c r="AF22" i="11"/>
  <c r="AF24" i="11" s="1"/>
  <c r="AG22" i="11"/>
  <c r="AH22" i="11"/>
  <c r="AH24" i="11" s="1"/>
  <c r="AI22" i="11"/>
  <c r="AI24" i="11" s="1"/>
  <c r="AJ22" i="11"/>
  <c r="AJ24" i="11" s="1"/>
  <c r="AK22" i="11"/>
  <c r="AL22" i="11"/>
  <c r="O23" i="11"/>
  <c r="P23" i="11"/>
  <c r="Q23" i="11"/>
  <c r="Q24" i="11" s="1"/>
  <c r="R23" i="11"/>
  <c r="S23" i="11"/>
  <c r="T23" i="11"/>
  <c r="U23" i="11"/>
  <c r="V23" i="11"/>
  <c r="W23" i="11"/>
  <c r="X23" i="11"/>
  <c r="Y23" i="11"/>
  <c r="Y24" i="11" s="1"/>
  <c r="Z23" i="11"/>
  <c r="AA23" i="11"/>
  <c r="AB23" i="11"/>
  <c r="AC23" i="11"/>
  <c r="AD23" i="11"/>
  <c r="AE23" i="11"/>
  <c r="AF23" i="11"/>
  <c r="AG23" i="11"/>
  <c r="AG24" i="11" s="1"/>
  <c r="AH23" i="11"/>
  <c r="AI23" i="11"/>
  <c r="AJ23" i="11"/>
  <c r="AK23" i="11"/>
  <c r="AL23" i="11"/>
  <c r="U24" i="11"/>
  <c r="V24" i="11"/>
  <c r="AC24" i="11"/>
  <c r="AD24" i="11"/>
  <c r="AK24" i="11"/>
  <c r="AL24" i="11"/>
  <c r="Q26" i="11"/>
  <c r="R26" i="11"/>
  <c r="S26" i="11"/>
  <c r="T26" i="11"/>
  <c r="U26" i="11"/>
  <c r="V26" i="11"/>
  <c r="W26" i="11"/>
  <c r="X26" i="11"/>
  <c r="Y26" i="11"/>
  <c r="Z26" i="11"/>
  <c r="AA26" i="11"/>
  <c r="AB26" i="11"/>
  <c r="AC26" i="11"/>
  <c r="AD26" i="11"/>
  <c r="AE26" i="11"/>
  <c r="AF26" i="11"/>
  <c r="AG26" i="11"/>
  <c r="AH26" i="11"/>
  <c r="AI26" i="11"/>
  <c r="AJ26" i="11"/>
  <c r="AK26" i="11"/>
  <c r="AL26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B28" i="11"/>
  <c r="AC28" i="11"/>
  <c r="AD28" i="11"/>
  <c r="AE28" i="11"/>
  <c r="AF28" i="11"/>
  <c r="AG28" i="11"/>
  <c r="AH28" i="11"/>
  <c r="AI28" i="11"/>
  <c r="AJ28" i="11"/>
  <c r="AK28" i="11"/>
  <c r="AL28" i="11"/>
  <c r="AM19" i="10"/>
  <c r="AN19" i="10"/>
  <c r="AM20" i="10"/>
  <c r="AN20" i="10"/>
  <c r="AM32" i="10"/>
  <c r="AN32" i="10"/>
  <c r="AI19" i="10"/>
  <c r="AJ19" i="10"/>
  <c r="AK19" i="10"/>
  <c r="AL19" i="10"/>
  <c r="AI20" i="10"/>
  <c r="AJ20" i="10"/>
  <c r="AK20" i="10"/>
  <c r="AL20" i="10"/>
  <c r="AI32" i="10"/>
  <c r="AJ32" i="10"/>
  <c r="AK32" i="10"/>
  <c r="AL32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E19" i="10"/>
  <c r="AF19" i="10"/>
  <c r="AG19" i="10"/>
  <c r="AH19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E20" i="10"/>
  <c r="AF20" i="10"/>
  <c r="AG20" i="10"/>
  <c r="AH20" i="10"/>
  <c r="Q32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F32" i="10"/>
  <c r="AG32" i="10"/>
  <c r="AH32" i="10"/>
  <c r="AK13" i="31"/>
  <c r="AL13" i="31"/>
  <c r="AM13" i="31"/>
  <c r="AN13" i="31"/>
  <c r="AK18" i="31"/>
  <c r="AL18" i="31"/>
  <c r="AM18" i="31"/>
  <c r="AN18" i="31"/>
  <c r="Q13" i="31"/>
  <c r="R13" i="31"/>
  <c r="S13" i="31"/>
  <c r="T13" i="31"/>
  <c r="U13" i="31"/>
  <c r="V13" i="31"/>
  <c r="W13" i="31"/>
  <c r="X13" i="31"/>
  <c r="Y13" i="31"/>
  <c r="Z13" i="31"/>
  <c r="AA13" i="31"/>
  <c r="AB13" i="31"/>
  <c r="AC13" i="31"/>
  <c r="AD13" i="31"/>
  <c r="AE13" i="31"/>
  <c r="AF13" i="31"/>
  <c r="AG13" i="31"/>
  <c r="AH13" i="31"/>
  <c r="AI13" i="31"/>
  <c r="AJ13" i="31"/>
  <c r="Q18" i="31"/>
  <c r="R18" i="31"/>
  <c r="S18" i="31"/>
  <c r="T18" i="31"/>
  <c r="U18" i="31"/>
  <c r="V18" i="31"/>
  <c r="W18" i="31"/>
  <c r="X18" i="31"/>
  <c r="Y18" i="31"/>
  <c r="Z18" i="31"/>
  <c r="AA18" i="31"/>
  <c r="AB18" i="31"/>
  <c r="AC18" i="31"/>
  <c r="AD18" i="31"/>
  <c r="AE18" i="31"/>
  <c r="AF18" i="31"/>
  <c r="AG18" i="31"/>
  <c r="AH18" i="31"/>
  <c r="AI18" i="31"/>
  <c r="AJ18" i="31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M18" i="12"/>
  <c r="P29" i="12"/>
  <c r="Q29" i="12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M29" i="12"/>
  <c r="AI8" i="25"/>
  <c r="AJ8" i="25"/>
  <c r="AK8" i="25"/>
  <c r="AL8" i="25"/>
  <c r="AM8" i="25"/>
  <c r="AN8" i="25"/>
  <c r="AO8" i="25"/>
  <c r="AI9" i="25"/>
  <c r="AJ9" i="25"/>
  <c r="AK9" i="25"/>
  <c r="AL9" i="25"/>
  <c r="AM9" i="25"/>
  <c r="AN9" i="25"/>
  <c r="AO9" i="25"/>
  <c r="R8" i="25"/>
  <c r="S8" i="25"/>
  <c r="T8" i="25"/>
  <c r="U8" i="25"/>
  <c r="V8" i="25"/>
  <c r="W8" i="25"/>
  <c r="X8" i="25"/>
  <c r="Y8" i="25"/>
  <c r="Z8" i="25"/>
  <c r="AA8" i="25"/>
  <c r="AB8" i="25"/>
  <c r="AC8" i="25"/>
  <c r="AD8" i="25"/>
  <c r="AE8" i="25"/>
  <c r="AD19" i="10" s="1"/>
  <c r="AF8" i="25"/>
  <c r="AG8" i="25"/>
  <c r="AH8" i="25"/>
  <c r="R9" i="25"/>
  <c r="S9" i="25"/>
  <c r="T9" i="25"/>
  <c r="U9" i="25"/>
  <c r="V9" i="25"/>
  <c r="W9" i="25"/>
  <c r="X9" i="25"/>
  <c r="Y9" i="25"/>
  <c r="Z9" i="25"/>
  <c r="AA9" i="25"/>
  <c r="AB9" i="25"/>
  <c r="AC9" i="25"/>
  <c r="AD9" i="25"/>
  <c r="AC20" i="10" s="1"/>
  <c r="AE9" i="25"/>
  <c r="AD20" i="10" s="1"/>
  <c r="AF9" i="25"/>
  <c r="AG9" i="25"/>
  <c r="AH9" i="25"/>
  <c r="R9" i="36"/>
  <c r="S9" i="36"/>
  <c r="T9" i="36"/>
  <c r="U9" i="36"/>
  <c r="V9" i="36"/>
  <c r="W9" i="36"/>
  <c r="X9" i="36"/>
  <c r="Y9" i="36"/>
  <c r="Z9" i="36"/>
  <c r="AA9" i="36"/>
  <c r="AB9" i="36"/>
  <c r="AC9" i="36"/>
  <c r="AD9" i="36"/>
  <c r="AE9" i="36"/>
  <c r="AF9" i="36"/>
  <c r="AG9" i="36"/>
  <c r="AH9" i="36"/>
  <c r="AI9" i="36"/>
  <c r="AJ9" i="36"/>
  <c r="AK9" i="36"/>
  <c r="AL9" i="36"/>
  <c r="AM9" i="36"/>
  <c r="AN9" i="36"/>
  <c r="AO9" i="36"/>
  <c r="R14" i="36"/>
  <c r="S14" i="36"/>
  <c r="T14" i="36"/>
  <c r="U14" i="36"/>
  <c r="V14" i="36"/>
  <c r="W14" i="36"/>
  <c r="X14" i="36"/>
  <c r="Y14" i="36"/>
  <c r="Z14" i="36"/>
  <c r="AA14" i="36"/>
  <c r="AB14" i="36"/>
  <c r="AC14" i="36"/>
  <c r="AD14" i="36"/>
  <c r="AE14" i="36"/>
  <c r="AF14" i="36"/>
  <c r="AG14" i="36"/>
  <c r="AH14" i="36"/>
  <c r="AI14" i="36"/>
  <c r="AJ14" i="36"/>
  <c r="AK14" i="36"/>
  <c r="AL14" i="36"/>
  <c r="AM14" i="36"/>
  <c r="AN14" i="36"/>
  <c r="AO14" i="36"/>
  <c r="R16" i="36"/>
  <c r="S16" i="36"/>
  <c r="T16" i="36"/>
  <c r="U16" i="36"/>
  <c r="V16" i="36"/>
  <c r="W16" i="36"/>
  <c r="X16" i="36"/>
  <c r="Y16" i="36"/>
  <c r="Z16" i="36"/>
  <c r="AA16" i="36"/>
  <c r="AB16" i="36"/>
  <c r="AC16" i="36"/>
  <c r="AD16" i="36"/>
  <c r="AE16" i="36"/>
  <c r="AF16" i="36"/>
  <c r="AG16" i="36"/>
  <c r="AH16" i="36"/>
  <c r="AI16" i="36"/>
  <c r="AJ16" i="36"/>
  <c r="AK16" i="36"/>
  <c r="AL16" i="36"/>
  <c r="AM16" i="36"/>
  <c r="AN16" i="36"/>
  <c r="AO16" i="36"/>
  <c r="R32" i="36"/>
  <c r="S32" i="36" s="1"/>
  <c r="R45" i="36"/>
  <c r="R58" i="36"/>
  <c r="R71" i="36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A22" i="11" s="1"/>
  <c r="AE14" i="5"/>
  <c r="AF14" i="5"/>
  <c r="AG14" i="5"/>
  <c r="AH14" i="5"/>
  <c r="AI14" i="5"/>
  <c r="AJ14" i="5"/>
  <c r="AK14" i="5"/>
  <c r="AL14" i="5"/>
  <c r="AM14" i="5"/>
  <c r="AN14" i="5"/>
  <c r="AO14" i="5"/>
  <c r="R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R27" i="5"/>
  <c r="S27" i="5"/>
  <c r="T27" i="5" s="1"/>
  <c r="U27" i="5"/>
  <c r="V27" i="5"/>
  <c r="V40" i="5" s="1"/>
  <c r="W27" i="5"/>
  <c r="W40" i="5" s="1"/>
  <c r="X27" i="5"/>
  <c r="Y27" i="5" s="1"/>
  <c r="R28" i="5"/>
  <c r="S28" i="5"/>
  <c r="T28" i="5"/>
  <c r="U28" i="5" s="1"/>
  <c r="R30" i="5"/>
  <c r="R40" i="5"/>
  <c r="X53" i="5" s="1"/>
  <c r="X66" i="5" s="1"/>
  <c r="S40" i="5"/>
  <c r="T40" i="5"/>
  <c r="U40" i="5"/>
  <c r="X40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AJ41" i="5"/>
  <c r="AK41" i="5"/>
  <c r="AL41" i="5"/>
  <c r="AM41" i="5"/>
  <c r="AN41" i="5"/>
  <c r="AO41" i="5"/>
  <c r="R43" i="5"/>
  <c r="R54" i="5"/>
  <c r="S54" i="5" s="1"/>
  <c r="R56" i="5"/>
  <c r="R67" i="5"/>
  <c r="R69" i="5"/>
  <c r="C5" i="11"/>
  <c r="E6" i="9"/>
  <c r="E4" i="10"/>
  <c r="E4" i="31"/>
  <c r="D4" i="12"/>
  <c r="D3" i="12"/>
  <c r="F4" i="25"/>
  <c r="F3" i="25"/>
  <c r="F4" i="36"/>
  <c r="F4" i="5"/>
  <c r="E6" i="8"/>
  <c r="E5" i="8"/>
  <c r="J4" i="34"/>
  <c r="J3" i="34"/>
  <c r="P6" i="30"/>
  <c r="P5" i="30"/>
  <c r="K85" i="6"/>
  <c r="L85" i="6" s="1"/>
  <c r="M85" i="6" s="1"/>
  <c r="N85" i="6" s="1"/>
  <c r="O15" i="6"/>
  <c r="O14" i="6"/>
  <c r="O72" i="6" s="1"/>
  <c r="O35" i="6" l="1" a="1"/>
  <c r="O35" i="6" s="1"/>
  <c r="O24" i="6" a="1"/>
  <c r="O24" i="6" s="1"/>
  <c r="O46" i="6" a="1"/>
  <c r="O46" i="6" s="1"/>
  <c r="E8" i="9"/>
  <c r="E5" i="10"/>
  <c r="F5" i="25"/>
  <c r="F5" i="36"/>
  <c r="D5" i="12"/>
  <c r="E7" i="9"/>
  <c r="E7" i="8"/>
  <c r="P7" i="30"/>
  <c r="E5" i="31"/>
  <c r="J5" i="34"/>
  <c r="E6" i="34"/>
  <c r="P8" i="30"/>
  <c r="D6" i="12"/>
  <c r="D39" i="12" s="1"/>
  <c r="D51" i="12" s="1"/>
  <c r="D62" i="12" s="1"/>
  <c r="K8" i="30"/>
  <c r="L8" i="30" s="1"/>
  <c r="E6" i="31"/>
  <c r="C7" i="11"/>
  <c r="F6" i="5"/>
  <c r="E6" i="10"/>
  <c r="F6" i="25"/>
  <c r="F6" i="36"/>
  <c r="E8" i="8"/>
  <c r="J6" i="34"/>
  <c r="F5" i="5"/>
  <c r="C6" i="11"/>
  <c r="AB24" i="11"/>
  <c r="AA24" i="11"/>
  <c r="S45" i="36"/>
  <c r="S58" i="36" s="1"/>
  <c r="T32" i="36"/>
  <c r="S67" i="5"/>
  <c r="T54" i="5"/>
  <c r="U54" i="5" s="1"/>
  <c r="V54" i="5" s="1"/>
  <c r="W54" i="5" s="1"/>
  <c r="X54" i="5" s="1"/>
  <c r="Y54" i="5" s="1"/>
  <c r="Z54" i="5" s="1"/>
  <c r="AA54" i="5" s="1"/>
  <c r="AB54" i="5" s="1"/>
  <c r="AC54" i="5" s="1"/>
  <c r="AD54" i="5" s="1"/>
  <c r="AE54" i="5" s="1"/>
  <c r="AF54" i="5" s="1"/>
  <c r="AG54" i="5" s="1"/>
  <c r="AH54" i="5" s="1"/>
  <c r="AI54" i="5" s="1"/>
  <c r="AJ54" i="5" s="1"/>
  <c r="AK54" i="5" s="1"/>
  <c r="AL54" i="5" s="1"/>
  <c r="AM54" i="5" s="1"/>
  <c r="AN54" i="5" s="1"/>
  <c r="AO54" i="5" s="1"/>
  <c r="V53" i="5"/>
  <c r="V66" i="5" s="1"/>
  <c r="W53" i="5"/>
  <c r="W66" i="5" s="1"/>
  <c r="V28" i="5"/>
  <c r="T67" i="5"/>
  <c r="Y53" i="5"/>
  <c r="Z27" i="5"/>
  <c r="Y40" i="5"/>
  <c r="Y66" i="5"/>
  <c r="U53" i="5"/>
  <c r="U66" i="5" s="1"/>
  <c r="T53" i="5"/>
  <c r="T66" i="5" s="1"/>
  <c r="S53" i="5"/>
  <c r="S66" i="5" s="1"/>
  <c r="R53" i="5"/>
  <c r="R66" i="5" s="1"/>
  <c r="E12" i="2"/>
  <c r="E26" i="2"/>
  <c r="E27" i="2"/>
  <c r="E34" i="2"/>
  <c r="E35" i="2"/>
  <c r="E36" i="2"/>
  <c r="E46" i="2"/>
  <c r="E50" i="2"/>
  <c r="E51" i="2"/>
  <c r="E52" i="2"/>
  <c r="E53" i="2"/>
  <c r="E54" i="2"/>
  <c r="E66" i="2"/>
  <c r="E67" i="2"/>
  <c r="J37" i="34" l="1"/>
  <c r="J32" i="34"/>
  <c r="J38" i="34"/>
  <c r="J39" i="34"/>
  <c r="J35" i="34"/>
  <c r="J40" i="34"/>
  <c r="J36" i="34"/>
  <c r="J41" i="34"/>
  <c r="J42" i="34"/>
  <c r="J43" i="34"/>
  <c r="J33" i="34"/>
  <c r="J34" i="34"/>
  <c r="J44" i="34"/>
  <c r="O52" i="6"/>
  <c r="O25" i="6"/>
  <c r="O26" i="6" s="1"/>
  <c r="P10" i="30"/>
  <c r="P31" i="30"/>
  <c r="P19" i="30"/>
  <c r="P20" i="30"/>
  <c r="P29" i="30"/>
  <c r="P30" i="30"/>
  <c r="P28" i="30"/>
  <c r="P18" i="30"/>
  <c r="P33" i="30"/>
  <c r="P32" i="30"/>
  <c r="E28" i="34"/>
  <c r="F6" i="34"/>
  <c r="T58" i="36"/>
  <c r="S71" i="36"/>
  <c r="T45" i="36"/>
  <c r="U32" i="36"/>
  <c r="AA27" i="5"/>
  <c r="Z40" i="5"/>
  <c r="S56" i="5"/>
  <c r="U30" i="5"/>
  <c r="U67" i="5"/>
  <c r="V67" i="5"/>
  <c r="W28" i="5"/>
  <c r="C41" i="6"/>
  <c r="C30" i="6"/>
  <c r="D6" i="2"/>
  <c r="G6" i="2" s="1"/>
  <c r="D9" i="2"/>
  <c r="E9" i="2" s="1"/>
  <c r="D10" i="2"/>
  <c r="E10" i="2" s="1"/>
  <c r="D14" i="2"/>
  <c r="D15" i="2"/>
  <c r="D24" i="2"/>
  <c r="D28" i="2"/>
  <c r="D40" i="2"/>
  <c r="D41" i="2"/>
  <c r="D42" i="2"/>
  <c r="D47" i="2"/>
  <c r="D48" i="2"/>
  <c r="D55" i="2"/>
  <c r="D59" i="2"/>
  <c r="D63" i="2"/>
  <c r="D64" i="2"/>
  <c r="D78" i="2"/>
  <c r="D79" i="2"/>
  <c r="D80" i="2"/>
  <c r="D92" i="2"/>
  <c r="D94" i="2"/>
  <c r="F3" i="2"/>
  <c r="F102" i="2"/>
  <c r="D9" i="12"/>
  <c r="D33" i="12" s="1"/>
  <c r="D18" i="12"/>
  <c r="D41" i="12"/>
  <c r="D46" i="12" s="1"/>
  <c r="E28" i="9"/>
  <c r="E13" i="31"/>
  <c r="C14" i="11"/>
  <c r="D14" i="11"/>
  <c r="E14" i="11"/>
  <c r="F14" i="11"/>
  <c r="G14" i="11"/>
  <c r="H14" i="11"/>
  <c r="I14" i="11"/>
  <c r="J14" i="11"/>
  <c r="K14" i="11"/>
  <c r="L14" i="11"/>
  <c r="M14" i="11"/>
  <c r="N14" i="11"/>
  <c r="L8" i="25"/>
  <c r="J8" i="25"/>
  <c r="I8" i="25"/>
  <c r="G9" i="25"/>
  <c r="H9" i="25"/>
  <c r="I9" i="25"/>
  <c r="J9" i="25"/>
  <c r="K9" i="25"/>
  <c r="L9" i="25"/>
  <c r="M9" i="25"/>
  <c r="N9" i="25"/>
  <c r="O9" i="25"/>
  <c r="P9" i="25"/>
  <c r="Q9" i="25"/>
  <c r="F9" i="25"/>
  <c r="G8" i="25"/>
  <c r="H8" i="25"/>
  <c r="K8" i="25"/>
  <c r="M8" i="25"/>
  <c r="N8" i="25"/>
  <c r="O8" i="25"/>
  <c r="P8" i="25"/>
  <c r="Q8" i="25"/>
  <c r="F8" i="25"/>
  <c r="C26" i="11"/>
  <c r="D22" i="11"/>
  <c r="E22" i="11"/>
  <c r="F22" i="11"/>
  <c r="H22" i="11"/>
  <c r="I22" i="11"/>
  <c r="J22" i="11"/>
  <c r="K22" i="11"/>
  <c r="L22" i="11"/>
  <c r="M22" i="11"/>
  <c r="N22" i="11"/>
  <c r="F32" i="36"/>
  <c r="G32" i="36" s="1"/>
  <c r="F31" i="36"/>
  <c r="G31" i="36" s="1"/>
  <c r="F30" i="36"/>
  <c r="G30" i="36" s="1"/>
  <c r="L16" i="36"/>
  <c r="K16" i="36"/>
  <c r="J16" i="36"/>
  <c r="Q14" i="36"/>
  <c r="Q16" i="36" s="1"/>
  <c r="P14" i="36"/>
  <c r="P16" i="36" s="1"/>
  <c r="O14" i="36"/>
  <c r="O16" i="36" s="1"/>
  <c r="N14" i="36"/>
  <c r="N16" i="36" s="1"/>
  <c r="M14" i="36"/>
  <c r="L14" i="36"/>
  <c r="K14" i="36"/>
  <c r="J14" i="36"/>
  <c r="I14" i="36"/>
  <c r="I16" i="36" s="1"/>
  <c r="H14" i="36"/>
  <c r="H16" i="36" s="1"/>
  <c r="G14" i="36"/>
  <c r="G16" i="36" s="1"/>
  <c r="F14" i="36"/>
  <c r="D13" i="36"/>
  <c r="D12" i="36"/>
  <c r="D11" i="36"/>
  <c r="Q9" i="36"/>
  <c r="P9" i="36"/>
  <c r="O9" i="36"/>
  <c r="N9" i="36"/>
  <c r="M9" i="36"/>
  <c r="M16" i="36" s="1"/>
  <c r="L9" i="36"/>
  <c r="K9" i="36"/>
  <c r="J9" i="36"/>
  <c r="I9" i="36"/>
  <c r="H9" i="36"/>
  <c r="G9" i="36"/>
  <c r="D8" i="36"/>
  <c r="Q67" i="5"/>
  <c r="Q69" i="5"/>
  <c r="F16" i="5"/>
  <c r="F9" i="5"/>
  <c r="G9" i="5"/>
  <c r="F8" i="5"/>
  <c r="F14" i="5"/>
  <c r="F28" i="5"/>
  <c r="D23" i="11"/>
  <c r="E23" i="11"/>
  <c r="F23" i="11"/>
  <c r="G23" i="11"/>
  <c r="H23" i="11"/>
  <c r="I23" i="11"/>
  <c r="J23" i="11"/>
  <c r="K23" i="11"/>
  <c r="L23" i="11"/>
  <c r="M23" i="11"/>
  <c r="N23" i="11"/>
  <c r="F54" i="5"/>
  <c r="G41" i="5"/>
  <c r="H41" i="5"/>
  <c r="I41" i="5"/>
  <c r="J41" i="5"/>
  <c r="K41" i="5"/>
  <c r="L41" i="5"/>
  <c r="M41" i="5"/>
  <c r="N41" i="5"/>
  <c r="O41" i="5"/>
  <c r="P41" i="5"/>
  <c r="Q41" i="5"/>
  <c r="F41" i="5"/>
  <c r="F44" i="5"/>
  <c r="F57" i="5" s="1"/>
  <c r="G44" i="5" s="1"/>
  <c r="F45" i="5"/>
  <c r="F58" i="5" s="1"/>
  <c r="F43" i="5"/>
  <c r="F56" i="5" s="1"/>
  <c r="G43" i="5" s="1"/>
  <c r="G28" i="5"/>
  <c r="H28" i="5" s="1"/>
  <c r="I28" i="5" s="1"/>
  <c r="J28" i="5" s="1"/>
  <c r="K28" i="5" s="1"/>
  <c r="L28" i="5" s="1"/>
  <c r="F30" i="5"/>
  <c r="G30" i="5"/>
  <c r="H30" i="5" s="1"/>
  <c r="G31" i="5"/>
  <c r="H31" i="5" s="1"/>
  <c r="L14" i="5"/>
  <c r="O85" i="6" l="1" a="1"/>
  <c r="O85" i="6" s="1"/>
  <c r="O79" i="6" a="1"/>
  <c r="O79" i="6" s="1"/>
  <c r="D10" i="12"/>
  <c r="F28" i="34"/>
  <c r="G6" i="34"/>
  <c r="E4" i="4"/>
  <c r="E43" i="4" s="1"/>
  <c r="C13" i="15"/>
  <c r="H6" i="2"/>
  <c r="U45" i="36"/>
  <c r="U58" i="36" s="1"/>
  <c r="V32" i="36"/>
  <c r="T71" i="36"/>
  <c r="Z53" i="5"/>
  <c r="Z66" i="5" s="1"/>
  <c r="AA53" i="5"/>
  <c r="AA66" i="5" s="1"/>
  <c r="AA40" i="5"/>
  <c r="AB27" i="5"/>
  <c r="X28" i="5"/>
  <c r="W67" i="5"/>
  <c r="S69" i="5"/>
  <c r="D38" i="2"/>
  <c r="D73" i="2" s="1"/>
  <c r="D43" i="2"/>
  <c r="D77" i="2"/>
  <c r="D49" i="2"/>
  <c r="C6" i="2"/>
  <c r="D17" i="2"/>
  <c r="E32" i="12"/>
  <c r="H32" i="36"/>
  <c r="H31" i="36"/>
  <c r="H30" i="36"/>
  <c r="G33" i="36"/>
  <c r="F33" i="36"/>
  <c r="F44" i="36"/>
  <c r="F57" i="36" s="1"/>
  <c r="G44" i="36" s="1"/>
  <c r="F43" i="36"/>
  <c r="F45" i="36"/>
  <c r="F58" i="36" s="1"/>
  <c r="G45" i="36" s="1"/>
  <c r="F71" i="36"/>
  <c r="F67" i="5"/>
  <c r="F71" i="5"/>
  <c r="G32" i="5"/>
  <c r="G45" i="5" s="1"/>
  <c r="F69" i="5"/>
  <c r="F70" i="5"/>
  <c r="G57" i="5"/>
  <c r="G56" i="5"/>
  <c r="I31" i="5"/>
  <c r="I30" i="5"/>
  <c r="F40" i="5"/>
  <c r="F33" i="5"/>
  <c r="F35" i="5" s="1"/>
  <c r="H6" i="34" l="1"/>
  <c r="G28" i="34"/>
  <c r="F70" i="36"/>
  <c r="D13" i="15"/>
  <c r="F4" i="4"/>
  <c r="F43" i="4" s="1"/>
  <c r="H38" i="2"/>
  <c r="I6" i="2"/>
  <c r="U71" i="36"/>
  <c r="V45" i="36"/>
  <c r="V58" i="36" s="1"/>
  <c r="W32" i="36"/>
  <c r="Y28" i="5"/>
  <c r="X67" i="5"/>
  <c r="W30" i="5"/>
  <c r="AB40" i="5"/>
  <c r="AC27" i="5"/>
  <c r="AB53" i="5"/>
  <c r="AB66" i="5" s="1"/>
  <c r="T69" i="5"/>
  <c r="U43" i="5"/>
  <c r="D45" i="2"/>
  <c r="D57" i="2"/>
  <c r="G57" i="36"/>
  <c r="H44" i="36" s="1"/>
  <c r="I31" i="36"/>
  <c r="I30" i="36"/>
  <c r="H33" i="36"/>
  <c r="G58" i="36"/>
  <c r="F56" i="36"/>
  <c r="F46" i="36"/>
  <c r="I32" i="36"/>
  <c r="F53" i="5"/>
  <c r="F66" i="5" s="1"/>
  <c r="G69" i="5"/>
  <c r="H43" i="5"/>
  <c r="H56" i="5" s="1"/>
  <c r="G70" i="5"/>
  <c r="H44" i="5"/>
  <c r="F72" i="5"/>
  <c r="F74" i="5" s="1"/>
  <c r="E17" i="9" s="1"/>
  <c r="H32" i="5"/>
  <c r="G58" i="5"/>
  <c r="J31" i="5"/>
  <c r="J30" i="5"/>
  <c r="K29" i="6"/>
  <c r="I6" i="34" l="1"/>
  <c r="I28" i="34" s="1"/>
  <c r="H28" i="34"/>
  <c r="E13" i="15"/>
  <c r="F13" i="15" s="1"/>
  <c r="G4" i="4"/>
  <c r="G43" i="4" s="1"/>
  <c r="I38" i="2"/>
  <c r="F18" i="4"/>
  <c r="F29" i="4" s="1"/>
  <c r="H73" i="2"/>
  <c r="U56" i="5"/>
  <c r="U69" i="5" s="1"/>
  <c r="V71" i="36"/>
  <c r="X32" i="36"/>
  <c r="W45" i="36"/>
  <c r="W58" i="36" s="1"/>
  <c r="X30" i="5"/>
  <c r="AD27" i="5"/>
  <c r="AC40" i="5"/>
  <c r="Y67" i="5"/>
  <c r="Z28" i="5"/>
  <c r="AC53" i="5"/>
  <c r="AC66" i="5" s="1"/>
  <c r="D61" i="2"/>
  <c r="D65" i="2" s="1"/>
  <c r="F59" i="36"/>
  <c r="F69" i="36"/>
  <c r="F72" i="36" s="1"/>
  <c r="G43" i="36"/>
  <c r="G46" i="36" s="1"/>
  <c r="I33" i="36"/>
  <c r="J30" i="36"/>
  <c r="G71" i="36"/>
  <c r="H45" i="36"/>
  <c r="H58" i="36" s="1"/>
  <c r="J32" i="36"/>
  <c r="J31" i="36"/>
  <c r="H57" i="36"/>
  <c r="I44" i="36" s="1"/>
  <c r="G70" i="36"/>
  <c r="H69" i="5"/>
  <c r="I43" i="5"/>
  <c r="G71" i="5"/>
  <c r="H45" i="5"/>
  <c r="I32" i="5"/>
  <c r="K30" i="5"/>
  <c r="L30" i="5" s="1"/>
  <c r="K31" i="5"/>
  <c r="L31" i="5" s="1"/>
  <c r="K93" i="6"/>
  <c r="L93" i="6"/>
  <c r="M93" i="6"/>
  <c r="K78" i="6"/>
  <c r="L78" i="6"/>
  <c r="M78" i="6"/>
  <c r="K98" i="6"/>
  <c r="L98" i="6"/>
  <c r="M98" i="6"/>
  <c r="C42" i="2"/>
  <c r="E42" i="2" s="1"/>
  <c r="C41" i="2"/>
  <c r="E41" i="2" s="1"/>
  <c r="J47" i="6"/>
  <c r="I47" i="6"/>
  <c r="I36" i="6"/>
  <c r="O36" i="6"/>
  <c r="O37" i="6" s="1"/>
  <c r="F18" i="31"/>
  <c r="C8" i="25"/>
  <c r="F59" i="5"/>
  <c r="D8" i="5"/>
  <c r="B3" i="34"/>
  <c r="C30" i="34"/>
  <c r="C14" i="34"/>
  <c r="E14" i="34" s="1"/>
  <c r="C29" i="14"/>
  <c r="G26" i="11"/>
  <c r="F26" i="11"/>
  <c r="E26" i="11"/>
  <c r="D26" i="11"/>
  <c r="D24" i="31"/>
  <c r="D28" i="31" s="1"/>
  <c r="V43" i="5" l="1"/>
  <c r="G18" i="4"/>
  <c r="G29" i="4" s="1"/>
  <c r="I73" i="2"/>
  <c r="W71" i="36"/>
  <c r="Y32" i="36"/>
  <c r="X45" i="36"/>
  <c r="X58" i="36" s="1"/>
  <c r="AD40" i="5"/>
  <c r="AE27" i="5"/>
  <c r="V56" i="5"/>
  <c r="AA28" i="5"/>
  <c r="Z67" i="5"/>
  <c r="Y30" i="5"/>
  <c r="C43" i="2"/>
  <c r="E43" i="2" s="1"/>
  <c r="H71" i="36"/>
  <c r="I45" i="36"/>
  <c r="I58" i="36" s="1"/>
  <c r="K32" i="36"/>
  <c r="G56" i="36"/>
  <c r="I57" i="36"/>
  <c r="H70" i="36"/>
  <c r="K31" i="36"/>
  <c r="J33" i="36"/>
  <c r="K30" i="36"/>
  <c r="M28" i="5"/>
  <c r="N28" i="5" s="1"/>
  <c r="O28" i="5" s="1"/>
  <c r="P28" i="5" s="1"/>
  <c r="Q28" i="5" s="1"/>
  <c r="J32" i="5"/>
  <c r="M30" i="5"/>
  <c r="N30" i="5" s="1"/>
  <c r="O47" i="6"/>
  <c r="O48" i="6" s="1"/>
  <c r="O53" i="6" s="1"/>
  <c r="O55" i="6" s="1"/>
  <c r="X71" i="36" l="1"/>
  <c r="Z32" i="36"/>
  <c r="Y45" i="36"/>
  <c r="Y58" i="36" s="1"/>
  <c r="AB28" i="5"/>
  <c r="AA67" i="5"/>
  <c r="AD53" i="5"/>
  <c r="AD66" i="5" s="1"/>
  <c r="V69" i="5"/>
  <c r="W43" i="5"/>
  <c r="Z30" i="5"/>
  <c r="AE40" i="5"/>
  <c r="AF27" i="5"/>
  <c r="D75" i="2"/>
  <c r="I71" i="36"/>
  <c r="J45" i="36"/>
  <c r="J58" i="36" s="1"/>
  <c r="G59" i="36"/>
  <c r="G69" i="36"/>
  <c r="G72" i="36" s="1"/>
  <c r="H43" i="36"/>
  <c r="H46" i="36" s="1"/>
  <c r="K33" i="36"/>
  <c r="L30" i="36"/>
  <c r="I70" i="36"/>
  <c r="L32" i="36"/>
  <c r="J44" i="36"/>
  <c r="J57" i="36" s="1"/>
  <c r="L31" i="36"/>
  <c r="K32" i="5"/>
  <c r="O30" i="5"/>
  <c r="P30" i="5" s="1"/>
  <c r="M31" i="5"/>
  <c r="O74" i="6"/>
  <c r="P13" i="6"/>
  <c r="E28" i="11"/>
  <c r="D28" i="11"/>
  <c r="P14" i="6" l="1"/>
  <c r="F4" i="10"/>
  <c r="F6" i="9"/>
  <c r="E4" i="12"/>
  <c r="G4" i="36"/>
  <c r="F6" i="8"/>
  <c r="Q6" i="30"/>
  <c r="G4" i="5"/>
  <c r="K4" i="34"/>
  <c r="F4" i="31"/>
  <c r="G4" i="25"/>
  <c r="D5" i="11"/>
  <c r="Y71" i="36"/>
  <c r="Z45" i="36"/>
  <c r="Z58" i="36" s="1"/>
  <c r="AA32" i="36"/>
  <c r="AC28" i="5"/>
  <c r="AB67" i="5"/>
  <c r="AG27" i="5"/>
  <c r="AF40" i="5"/>
  <c r="W56" i="5"/>
  <c r="AE53" i="5"/>
  <c r="AE66" i="5" s="1"/>
  <c r="AA30" i="5"/>
  <c r="P72" i="6"/>
  <c r="F3" i="36"/>
  <c r="F25" i="36" s="1"/>
  <c r="F38" i="36" s="1"/>
  <c r="F51" i="36" s="1"/>
  <c r="E3" i="31"/>
  <c r="J70" i="36"/>
  <c r="K44" i="36"/>
  <c r="K57" i="36" s="1"/>
  <c r="J71" i="36"/>
  <c r="K45" i="36"/>
  <c r="K58" i="36" s="1"/>
  <c r="M31" i="36"/>
  <c r="L33" i="36"/>
  <c r="M30" i="36"/>
  <c r="H56" i="36"/>
  <c r="M32" i="36"/>
  <c r="L32" i="5"/>
  <c r="N31" i="5"/>
  <c r="Q30" i="5"/>
  <c r="O59" i="6"/>
  <c r="Q13" i="6"/>
  <c r="C5" i="28"/>
  <c r="C3" i="17"/>
  <c r="F3" i="5"/>
  <c r="J28" i="34"/>
  <c r="C6" i="18"/>
  <c r="E5" i="9"/>
  <c r="E3" i="10"/>
  <c r="C4" i="11"/>
  <c r="B5" i="34"/>
  <c r="B4" i="34"/>
  <c r="D12" i="5"/>
  <c r="D13" i="5"/>
  <c r="E42" i="8"/>
  <c r="E20" i="10"/>
  <c r="C18" i="8"/>
  <c r="G4" i="31" l="1"/>
  <c r="G4" i="10"/>
  <c r="E5" i="11"/>
  <c r="H4" i="5"/>
  <c r="L4" i="34"/>
  <c r="F4" i="12"/>
  <c r="H4" i="25"/>
  <c r="G6" i="9"/>
  <c r="H4" i="36"/>
  <c r="G6" i="8"/>
  <c r="R6" i="30"/>
  <c r="Q14" i="6"/>
  <c r="P46" i="6" a="1"/>
  <c r="P46" i="6" s="1"/>
  <c r="P24" i="6" a="1"/>
  <c r="P24" i="6" s="1"/>
  <c r="P35" i="6" a="1"/>
  <c r="P35" i="6" s="1"/>
  <c r="D6" i="11"/>
  <c r="G5" i="25"/>
  <c r="E5" i="12"/>
  <c r="F7" i="8"/>
  <c r="Q7" i="30"/>
  <c r="G5" i="36"/>
  <c r="F7" i="9"/>
  <c r="G5" i="5"/>
  <c r="F5" i="10"/>
  <c r="K5" i="34"/>
  <c r="F5" i="31"/>
  <c r="D3" i="16"/>
  <c r="F5" i="9"/>
  <c r="F5" i="8"/>
  <c r="Q5" i="30"/>
  <c r="F3" i="31"/>
  <c r="G3" i="5"/>
  <c r="K3" i="34"/>
  <c r="G3" i="25"/>
  <c r="G3" i="36"/>
  <c r="G25" i="36" s="1"/>
  <c r="G38" i="36" s="1"/>
  <c r="G51" i="36" s="1"/>
  <c r="G64" i="36" s="1"/>
  <c r="F3" i="10"/>
  <c r="P15" i="6"/>
  <c r="E3" i="12"/>
  <c r="D4" i="11"/>
  <c r="Z71" i="36"/>
  <c r="AA45" i="36"/>
  <c r="AA58" i="36" s="1"/>
  <c r="AB32" i="36"/>
  <c r="W69" i="5"/>
  <c r="X43" i="5"/>
  <c r="AF53" i="5"/>
  <c r="AF66" i="5" s="1"/>
  <c r="AB30" i="5"/>
  <c r="AG40" i="5"/>
  <c r="AH27" i="5"/>
  <c r="AD28" i="5"/>
  <c r="AC67" i="5"/>
  <c r="E6" i="36"/>
  <c r="E8" i="30"/>
  <c r="G38" i="2"/>
  <c r="E6" i="5"/>
  <c r="C6" i="10"/>
  <c r="K71" i="36"/>
  <c r="L45" i="36"/>
  <c r="L58" i="36" s="1"/>
  <c r="K70" i="36"/>
  <c r="L44" i="36"/>
  <c r="L57" i="36" s="1"/>
  <c r="M33" i="36"/>
  <c r="N30" i="36"/>
  <c r="N32" i="36"/>
  <c r="H59" i="36"/>
  <c r="H69" i="36"/>
  <c r="H72" i="36" s="1"/>
  <c r="I43" i="36"/>
  <c r="I46" i="36" s="1"/>
  <c r="N31" i="36"/>
  <c r="M32" i="5"/>
  <c r="F25" i="5"/>
  <c r="F38" i="5" s="1"/>
  <c r="F51" i="5" s="1"/>
  <c r="F64" i="5" s="1"/>
  <c r="O31" i="5"/>
  <c r="D4" i="4"/>
  <c r="D6" i="10"/>
  <c r="C6" i="12"/>
  <c r="D8" i="8"/>
  <c r="D8" i="9"/>
  <c r="C6" i="34"/>
  <c r="H74" i="6"/>
  <c r="P74" i="6"/>
  <c r="P59" i="6"/>
  <c r="J18" i="6"/>
  <c r="R13" i="6"/>
  <c r="C36" i="18"/>
  <c r="C23" i="18"/>
  <c r="C52" i="18"/>
  <c r="Q12" i="6"/>
  <c r="D5" i="28"/>
  <c r="D3" i="17"/>
  <c r="D6" i="18"/>
  <c r="J84" i="6" l="1"/>
  <c r="J78" i="6"/>
  <c r="J93" i="6"/>
  <c r="O20" i="6"/>
  <c r="O21" i="6"/>
  <c r="P20" i="6"/>
  <c r="Q28" i="30"/>
  <c r="Q33" i="30"/>
  <c r="Q20" i="30"/>
  <c r="Q19" i="30"/>
  <c r="Q31" i="30"/>
  <c r="Q18" i="30"/>
  <c r="Q10" i="30"/>
  <c r="Q32" i="30"/>
  <c r="Q30" i="30"/>
  <c r="Q29" i="30"/>
  <c r="Q24" i="6" a="1"/>
  <c r="Q24" i="6" s="1"/>
  <c r="Q46" i="6" a="1"/>
  <c r="Q46" i="6" s="1"/>
  <c r="Q35" i="6" a="1"/>
  <c r="Q35" i="6" s="1"/>
  <c r="E6" i="11"/>
  <c r="F5" i="12"/>
  <c r="G7" i="8"/>
  <c r="L5" i="34"/>
  <c r="R7" i="30"/>
  <c r="G7" i="9"/>
  <c r="H5" i="25"/>
  <c r="H5" i="5"/>
  <c r="G5" i="10"/>
  <c r="H5" i="36"/>
  <c r="G5" i="31"/>
  <c r="Q72" i="6"/>
  <c r="G4" i="12"/>
  <c r="I4" i="25"/>
  <c r="I4" i="36"/>
  <c r="H4" i="31"/>
  <c r="H6" i="8"/>
  <c r="S6" i="30"/>
  <c r="R14" i="6"/>
  <c r="R72" i="6" s="1"/>
  <c r="F5" i="11"/>
  <c r="I4" i="5"/>
  <c r="M4" i="34"/>
  <c r="H6" i="9"/>
  <c r="H4" i="10"/>
  <c r="K38" i="34"/>
  <c r="K33" i="34"/>
  <c r="K41" i="34"/>
  <c r="K34" i="34"/>
  <c r="K44" i="34"/>
  <c r="K42" i="34"/>
  <c r="K37" i="34"/>
  <c r="K40" i="34"/>
  <c r="K43" i="34"/>
  <c r="K32" i="34"/>
  <c r="K35" i="34"/>
  <c r="K36" i="34"/>
  <c r="K39" i="34"/>
  <c r="E3" i="16"/>
  <c r="F3" i="12"/>
  <c r="G5" i="8"/>
  <c r="R5" i="30"/>
  <c r="G5" i="9"/>
  <c r="G3" i="31"/>
  <c r="H3" i="5"/>
  <c r="E4" i="11"/>
  <c r="Q15" i="6"/>
  <c r="G3" i="10"/>
  <c r="H3" i="36"/>
  <c r="H25" i="36" s="1"/>
  <c r="H38" i="36" s="1"/>
  <c r="H51" i="36" s="1"/>
  <c r="H64" i="36" s="1"/>
  <c r="H3" i="25"/>
  <c r="L3" i="34"/>
  <c r="F8" i="9"/>
  <c r="F6" i="31"/>
  <c r="F8" i="8"/>
  <c r="K6" i="34"/>
  <c r="Q8" i="30"/>
  <c r="G6" i="5"/>
  <c r="F6" i="10"/>
  <c r="G6" i="25"/>
  <c r="G6" i="36"/>
  <c r="D7" i="11"/>
  <c r="E6" i="12"/>
  <c r="E39" i="12" s="1"/>
  <c r="E51" i="12" s="1"/>
  <c r="E62" i="12" s="1"/>
  <c r="G73" i="2"/>
  <c r="E18" i="4"/>
  <c r="E29" i="4" s="1"/>
  <c r="X56" i="5"/>
  <c r="X69" i="5" s="1"/>
  <c r="AA71" i="36"/>
  <c r="AC32" i="36"/>
  <c r="AB45" i="36"/>
  <c r="AB58" i="36" s="1"/>
  <c r="AG53" i="5"/>
  <c r="AG66" i="5" s="1"/>
  <c r="AC30" i="5"/>
  <c r="AD67" i="5"/>
  <c r="AE28" i="5"/>
  <c r="AH40" i="5"/>
  <c r="AI27" i="5"/>
  <c r="D8" i="30"/>
  <c r="C8" i="9"/>
  <c r="L70" i="36"/>
  <c r="M44" i="36"/>
  <c r="M57" i="36" s="1"/>
  <c r="L71" i="36"/>
  <c r="M45" i="36"/>
  <c r="M58" i="36" s="1"/>
  <c r="O30" i="36"/>
  <c r="N33" i="36"/>
  <c r="O31" i="36"/>
  <c r="O32" i="36"/>
  <c r="I56" i="36"/>
  <c r="N32" i="5"/>
  <c r="G25" i="5"/>
  <c r="G38" i="5" s="1"/>
  <c r="G51" i="5" s="1"/>
  <c r="G64" i="5" s="1"/>
  <c r="P31" i="5"/>
  <c r="J29" i="6"/>
  <c r="J98" i="6"/>
  <c r="Q74" i="6"/>
  <c r="Q59" i="6"/>
  <c r="S13" i="6"/>
  <c r="R12" i="6"/>
  <c r="D36" i="18"/>
  <c r="D52" i="18"/>
  <c r="D23" i="18"/>
  <c r="E6" i="18"/>
  <c r="E3" i="17"/>
  <c r="E5" i="28"/>
  <c r="C10" i="34"/>
  <c r="E10" i="34" s="1"/>
  <c r="M8" i="30"/>
  <c r="N8" i="30" s="1"/>
  <c r="O8" i="30" s="1"/>
  <c r="C10" i="1"/>
  <c r="C14" i="1"/>
  <c r="C13" i="1"/>
  <c r="C12" i="1"/>
  <c r="D15" i="6"/>
  <c r="K40" i="6"/>
  <c r="I61" i="6"/>
  <c r="C22" i="8"/>
  <c r="D23" i="8"/>
  <c r="E19" i="10"/>
  <c r="F19" i="10"/>
  <c r="C48" i="2"/>
  <c r="E48" i="2" s="1"/>
  <c r="C9" i="10"/>
  <c r="D8" i="10"/>
  <c r="L18" i="30"/>
  <c r="I6" i="8" l="1"/>
  <c r="T6" i="30"/>
  <c r="S14" i="6"/>
  <c r="S72" i="6" s="1"/>
  <c r="G5" i="11"/>
  <c r="H4" i="12"/>
  <c r="J4" i="5"/>
  <c r="N4" i="34"/>
  <c r="J4" i="25"/>
  <c r="I6" i="9"/>
  <c r="J4" i="36"/>
  <c r="I4" i="10"/>
  <c r="I4" i="31"/>
  <c r="R31" i="30"/>
  <c r="R18" i="30"/>
  <c r="R10" i="30"/>
  <c r="R30" i="30"/>
  <c r="R33" i="30"/>
  <c r="R28" i="30"/>
  <c r="R20" i="30"/>
  <c r="R32" i="30"/>
  <c r="R19" i="30"/>
  <c r="R29" i="30"/>
  <c r="Q20" i="6"/>
  <c r="L35" i="34"/>
  <c r="L38" i="34"/>
  <c r="L37" i="34"/>
  <c r="L41" i="34"/>
  <c r="L34" i="34"/>
  <c r="L44" i="34"/>
  <c r="L39" i="34"/>
  <c r="L42" i="34"/>
  <c r="L43" i="34"/>
  <c r="L40" i="34"/>
  <c r="L32" i="34"/>
  <c r="L33" i="34"/>
  <c r="L36" i="34"/>
  <c r="R24" i="6" a="1"/>
  <c r="R24" i="6" s="1"/>
  <c r="R46" i="6" a="1"/>
  <c r="R46" i="6" s="1"/>
  <c r="R35" i="6" a="1"/>
  <c r="R35" i="6" s="1"/>
  <c r="I5" i="25"/>
  <c r="F6" i="11"/>
  <c r="G5" i="12"/>
  <c r="S7" i="30"/>
  <c r="H5" i="31"/>
  <c r="H7" i="8"/>
  <c r="M5" i="34"/>
  <c r="I5" i="36"/>
  <c r="H7" i="9"/>
  <c r="I5" i="5"/>
  <c r="H5" i="10"/>
  <c r="O22" i="6"/>
  <c r="F3" i="16"/>
  <c r="H3" i="10"/>
  <c r="G3" i="12"/>
  <c r="H5" i="9"/>
  <c r="H5" i="8"/>
  <c r="H3" i="31"/>
  <c r="I3" i="36"/>
  <c r="I25" i="36" s="1"/>
  <c r="I38" i="36" s="1"/>
  <c r="I51" i="36" s="1"/>
  <c r="I64" i="36" s="1"/>
  <c r="I3" i="5"/>
  <c r="S5" i="30"/>
  <c r="F4" i="11"/>
  <c r="I3" i="25"/>
  <c r="M3" i="34"/>
  <c r="R15" i="6"/>
  <c r="F6" i="12"/>
  <c r="F39" i="12" s="1"/>
  <c r="F51" i="12" s="1"/>
  <c r="F62" i="12" s="1"/>
  <c r="G8" i="9"/>
  <c r="G6" i="31"/>
  <c r="E7" i="11"/>
  <c r="L6" i="34"/>
  <c r="H6" i="25"/>
  <c r="H6" i="5"/>
  <c r="G6" i="10"/>
  <c r="R8" i="30"/>
  <c r="H6" i="36"/>
  <c r="G8" i="8"/>
  <c r="E24" i="9"/>
  <c r="E9" i="12"/>
  <c r="E10" i="12" s="1"/>
  <c r="D34" i="12"/>
  <c r="Y43" i="5"/>
  <c r="S36" i="11"/>
  <c r="AA36" i="11"/>
  <c r="AI36" i="11"/>
  <c r="V36" i="11"/>
  <c r="AD36" i="11"/>
  <c r="Q36" i="11"/>
  <c r="AG36" i="11"/>
  <c r="T36" i="11"/>
  <c r="AB36" i="11"/>
  <c r="AJ36" i="11"/>
  <c r="Y36" i="11"/>
  <c r="U36" i="11"/>
  <c r="AC36" i="11"/>
  <c r="AK36" i="11"/>
  <c r="AL36" i="11"/>
  <c r="O36" i="11"/>
  <c r="W36" i="11"/>
  <c r="AE36" i="11"/>
  <c r="P36" i="11"/>
  <c r="X36" i="11"/>
  <c r="AF36" i="11"/>
  <c r="R36" i="11"/>
  <c r="Z36" i="11"/>
  <c r="AH36" i="11"/>
  <c r="Y56" i="5"/>
  <c r="Y69" i="5" s="1"/>
  <c r="AB71" i="36"/>
  <c r="AD32" i="36"/>
  <c r="AC45" i="36"/>
  <c r="AC58" i="36" s="1"/>
  <c r="AI40" i="5"/>
  <c r="AI53" i="5" s="1"/>
  <c r="AJ27" i="5"/>
  <c r="AI66" i="5"/>
  <c r="AE67" i="5"/>
  <c r="AF28" i="5"/>
  <c r="AH53" i="5"/>
  <c r="AH66" i="5" s="1"/>
  <c r="AD30" i="5"/>
  <c r="P19" i="6"/>
  <c r="P21" i="6" s="1"/>
  <c r="P61" i="6"/>
  <c r="Q61" i="6" s="1"/>
  <c r="J40" i="6"/>
  <c r="C16" i="10"/>
  <c r="M71" i="36"/>
  <c r="N45" i="36"/>
  <c r="N58" i="36" s="1"/>
  <c r="M70" i="36"/>
  <c r="N44" i="36"/>
  <c r="N57" i="36" s="1"/>
  <c r="P32" i="36"/>
  <c r="P30" i="36"/>
  <c r="O33" i="36"/>
  <c r="I59" i="36"/>
  <c r="I69" i="36"/>
  <c r="I72" i="36" s="1"/>
  <c r="J43" i="36"/>
  <c r="J46" i="36" s="1"/>
  <c r="P31" i="36"/>
  <c r="H25" i="5"/>
  <c r="H38" i="5" s="1"/>
  <c r="H51" i="5" s="1"/>
  <c r="H64" i="5" s="1"/>
  <c r="O32" i="5"/>
  <c r="Q31" i="5"/>
  <c r="D46" i="4"/>
  <c r="D31" i="4"/>
  <c r="D10" i="8" s="1"/>
  <c r="E10" i="8" s="1"/>
  <c r="D22" i="8"/>
  <c r="D17" i="8"/>
  <c r="D13" i="8"/>
  <c r="E15" i="6"/>
  <c r="R74" i="6"/>
  <c r="F6" i="18"/>
  <c r="F36" i="18" s="1"/>
  <c r="R59" i="6"/>
  <c r="T13" i="6"/>
  <c r="F3" i="17"/>
  <c r="S12" i="6"/>
  <c r="F5" i="28"/>
  <c r="E36" i="18"/>
  <c r="E52" i="18"/>
  <c r="E23" i="18"/>
  <c r="D36" i="12"/>
  <c r="K28" i="34"/>
  <c r="C4" i="4"/>
  <c r="C8" i="8"/>
  <c r="D6" i="31"/>
  <c r="C38" i="2"/>
  <c r="C6" i="31" s="1"/>
  <c r="K4" i="25" l="1"/>
  <c r="K4" i="5"/>
  <c r="J6" i="8"/>
  <c r="U6" i="30"/>
  <c r="T14" i="6"/>
  <c r="T72" i="6" s="1"/>
  <c r="H5" i="11"/>
  <c r="I4" i="12"/>
  <c r="O4" i="34"/>
  <c r="J6" i="9"/>
  <c r="K4" i="36"/>
  <c r="J4" i="10"/>
  <c r="J4" i="31"/>
  <c r="M32" i="34"/>
  <c r="M40" i="34"/>
  <c r="M35" i="34"/>
  <c r="M43" i="34"/>
  <c r="M37" i="34"/>
  <c r="M41" i="34"/>
  <c r="M34" i="34"/>
  <c r="M38" i="34"/>
  <c r="M36" i="34"/>
  <c r="M42" i="34"/>
  <c r="M39" i="34"/>
  <c r="M44" i="34"/>
  <c r="M33" i="34"/>
  <c r="S29" i="30"/>
  <c r="S20" i="30"/>
  <c r="S19" i="30"/>
  <c r="S18" i="30"/>
  <c r="S33" i="30"/>
  <c r="S10" i="30"/>
  <c r="S28" i="30"/>
  <c r="S31" i="30"/>
  <c r="S32" i="30"/>
  <c r="S30" i="30"/>
  <c r="S35" i="6" a="1"/>
  <c r="S35" i="6" s="1"/>
  <c r="S46" i="6" a="1"/>
  <c r="S46" i="6" s="1"/>
  <c r="S24" i="6" a="1"/>
  <c r="S24" i="6" s="1"/>
  <c r="G6" i="11"/>
  <c r="I5" i="31"/>
  <c r="J5" i="5"/>
  <c r="J5" i="36"/>
  <c r="J5" i="25"/>
  <c r="H5" i="12"/>
  <c r="I7" i="8"/>
  <c r="N5" i="34"/>
  <c r="T7" i="30"/>
  <c r="I7" i="9"/>
  <c r="I5" i="10"/>
  <c r="R20" i="6"/>
  <c r="G3" i="17"/>
  <c r="G3" i="16"/>
  <c r="G4" i="11"/>
  <c r="I3" i="10"/>
  <c r="S15" i="6"/>
  <c r="H3" i="12"/>
  <c r="I5" i="9"/>
  <c r="J3" i="25"/>
  <c r="J3" i="36"/>
  <c r="J25" i="36" s="1"/>
  <c r="J38" i="36" s="1"/>
  <c r="J51" i="36" s="1"/>
  <c r="J64" i="36" s="1"/>
  <c r="J3" i="5"/>
  <c r="I5" i="8"/>
  <c r="I3" i="31"/>
  <c r="N3" i="34"/>
  <c r="T5" i="30"/>
  <c r="F7" i="11"/>
  <c r="H6" i="10"/>
  <c r="G6" i="12"/>
  <c r="G39" i="12" s="1"/>
  <c r="G51" i="12" s="1"/>
  <c r="G62" i="12" s="1"/>
  <c r="H8" i="9"/>
  <c r="H6" i="31"/>
  <c r="I6" i="25"/>
  <c r="I6" i="36"/>
  <c r="M6" i="34"/>
  <c r="S8" i="30"/>
  <c r="I6" i="5"/>
  <c r="H8" i="8"/>
  <c r="Z43" i="5"/>
  <c r="Z56" i="5" s="1"/>
  <c r="R31" i="5"/>
  <c r="V13" i="8"/>
  <c r="AD13" i="8"/>
  <c r="AL13" i="8"/>
  <c r="Z13" i="8"/>
  <c r="AA13" i="8"/>
  <c r="W13" i="8"/>
  <c r="AE13" i="8"/>
  <c r="AM13" i="8"/>
  <c r="AI13" i="8"/>
  <c r="X13" i="8"/>
  <c r="AF13" i="8"/>
  <c r="AN13" i="8"/>
  <c r="U13" i="8"/>
  <c r="AC13" i="8"/>
  <c r="AK13" i="8"/>
  <c r="Q13" i="8"/>
  <c r="Y13" i="8"/>
  <c r="AG13" i="8"/>
  <c r="R13" i="8"/>
  <c r="AH13" i="8"/>
  <c r="S13" i="8"/>
  <c r="T13" i="8"/>
  <c r="AB13" i="8"/>
  <c r="AJ13" i="8"/>
  <c r="G10" i="8"/>
  <c r="S10" i="8"/>
  <c r="AA10" i="8"/>
  <c r="AI10" i="8"/>
  <c r="AH10" i="8"/>
  <c r="T10" i="8"/>
  <c r="AB10" i="8"/>
  <c r="AJ10" i="8"/>
  <c r="Z10" i="8"/>
  <c r="U10" i="8"/>
  <c r="AC10" i="8"/>
  <c r="AK10" i="8"/>
  <c r="V10" i="8"/>
  <c r="AD10" i="8"/>
  <c r="AL10" i="8"/>
  <c r="W10" i="8"/>
  <c r="AE10" i="8"/>
  <c r="AM10" i="8"/>
  <c r="X10" i="8"/>
  <c r="AF10" i="8"/>
  <c r="AN10" i="8"/>
  <c r="Q10" i="8"/>
  <c r="Y10" i="8"/>
  <c r="AG10" i="8"/>
  <c r="R10" i="8"/>
  <c r="AC71" i="36"/>
  <c r="AE32" i="36"/>
  <c r="AD45" i="36"/>
  <c r="AD58" i="36" s="1"/>
  <c r="AJ40" i="5"/>
  <c r="AJ53" i="5" s="1"/>
  <c r="AJ66" i="5" s="1"/>
  <c r="AK27" i="5"/>
  <c r="AG28" i="5"/>
  <c r="AF67" i="5"/>
  <c r="AE30" i="5"/>
  <c r="F15" i="6"/>
  <c r="N70" i="36"/>
  <c r="O44" i="36"/>
  <c r="O57" i="36" s="1"/>
  <c r="N71" i="36"/>
  <c r="O45" i="36"/>
  <c r="O58" i="36" s="1"/>
  <c r="Q31" i="36"/>
  <c r="R31" i="36" s="1"/>
  <c r="J56" i="36"/>
  <c r="Q30" i="36"/>
  <c r="R30" i="36" s="1"/>
  <c r="P33" i="36"/>
  <c r="Q32" i="36"/>
  <c r="P32" i="5"/>
  <c r="I25" i="5"/>
  <c r="I38" i="5" s="1"/>
  <c r="I51" i="5" s="1"/>
  <c r="I64" i="5" s="1"/>
  <c r="F10" i="8"/>
  <c r="J10" i="8"/>
  <c r="K10" i="8"/>
  <c r="M10" i="8"/>
  <c r="L10" i="8"/>
  <c r="I10" i="8"/>
  <c r="N10" i="8"/>
  <c r="O10" i="8"/>
  <c r="H10" i="8"/>
  <c r="P10" i="8"/>
  <c r="O13" i="8"/>
  <c r="M13" i="8"/>
  <c r="K13" i="8"/>
  <c r="I13" i="8"/>
  <c r="P13" i="8"/>
  <c r="J13" i="8"/>
  <c r="E13" i="8"/>
  <c r="L13" i="8"/>
  <c r="F13" i="8"/>
  <c r="H13" i="8"/>
  <c r="G13" i="8"/>
  <c r="N13" i="8"/>
  <c r="F23" i="18"/>
  <c r="S74" i="6"/>
  <c r="G5" i="28"/>
  <c r="G6" i="18"/>
  <c r="G36" i="18" s="1"/>
  <c r="F52" i="18"/>
  <c r="T12" i="6"/>
  <c r="S59" i="6"/>
  <c r="U13" i="6"/>
  <c r="L28" i="34"/>
  <c r="L29" i="6"/>
  <c r="K4" i="31" l="1"/>
  <c r="U14" i="6"/>
  <c r="L4" i="25"/>
  <c r="L4" i="36"/>
  <c r="K6" i="8"/>
  <c r="V6" i="30"/>
  <c r="I5" i="11"/>
  <c r="J4" i="12"/>
  <c r="L4" i="5"/>
  <c r="P4" i="34"/>
  <c r="K6" i="9"/>
  <c r="K4" i="10"/>
  <c r="L40" i="6"/>
  <c r="O31" i="6"/>
  <c r="O32" i="6"/>
  <c r="P31" i="6"/>
  <c r="Q31" i="6"/>
  <c r="T18" i="30"/>
  <c r="T33" i="30"/>
  <c r="T10" i="30"/>
  <c r="T31" i="30"/>
  <c r="T20" i="30"/>
  <c r="T28" i="30"/>
  <c r="T29" i="30"/>
  <c r="T32" i="30"/>
  <c r="T30" i="30"/>
  <c r="T19" i="30"/>
  <c r="N37" i="34"/>
  <c r="N32" i="34"/>
  <c r="N40" i="34"/>
  <c r="N33" i="34"/>
  <c r="N43" i="34"/>
  <c r="N41" i="34"/>
  <c r="N38" i="34"/>
  <c r="N36" i="34"/>
  <c r="N44" i="34"/>
  <c r="N39" i="34"/>
  <c r="N42" i="34"/>
  <c r="N34" i="34"/>
  <c r="T46" i="6" a="1"/>
  <c r="T46" i="6" s="1"/>
  <c r="T35" i="6" a="1"/>
  <c r="T35" i="6" s="1"/>
  <c r="T24" i="6" a="1"/>
  <c r="T24" i="6" s="1"/>
  <c r="J7" i="9"/>
  <c r="H6" i="11"/>
  <c r="O5" i="34"/>
  <c r="U7" i="30"/>
  <c r="J5" i="31"/>
  <c r="J7" i="8"/>
  <c r="K5" i="5"/>
  <c r="K5" i="25"/>
  <c r="K5" i="36"/>
  <c r="I5" i="12"/>
  <c r="J5" i="10"/>
  <c r="R31" i="6"/>
  <c r="S31" i="6"/>
  <c r="S20" i="6"/>
  <c r="H6" i="18"/>
  <c r="H36" i="18" s="1"/>
  <c r="H3" i="16"/>
  <c r="J5" i="9"/>
  <c r="H4" i="11"/>
  <c r="J3" i="10"/>
  <c r="T15" i="6"/>
  <c r="I3" i="12"/>
  <c r="H3" i="17"/>
  <c r="J3" i="31"/>
  <c r="K3" i="5"/>
  <c r="O3" i="34"/>
  <c r="K3" i="36"/>
  <c r="K25" i="36" s="1"/>
  <c r="K38" i="36" s="1"/>
  <c r="K51" i="36" s="1"/>
  <c r="K64" i="36" s="1"/>
  <c r="J5" i="8"/>
  <c r="K3" i="25"/>
  <c r="U5" i="30"/>
  <c r="I8" i="9"/>
  <c r="I6" i="10"/>
  <c r="H6" i="12"/>
  <c r="H39" i="12" s="1"/>
  <c r="H51" i="12" s="1"/>
  <c r="H62" i="12" s="1"/>
  <c r="J6" i="5"/>
  <c r="T8" i="30"/>
  <c r="I6" i="31"/>
  <c r="J6" i="25"/>
  <c r="N6" i="34"/>
  <c r="J6" i="36"/>
  <c r="G7" i="11"/>
  <c r="I8" i="8"/>
  <c r="S30" i="36"/>
  <c r="R33" i="36"/>
  <c r="S31" i="36"/>
  <c r="S31" i="5"/>
  <c r="C54" i="18"/>
  <c r="AD71" i="36"/>
  <c r="AE45" i="36"/>
  <c r="AE58" i="36" s="1"/>
  <c r="AF32" i="36"/>
  <c r="Z69" i="5"/>
  <c r="AA43" i="5"/>
  <c r="AK40" i="5"/>
  <c r="AK53" i="5" s="1"/>
  <c r="AK66" i="5" s="1"/>
  <c r="AL27" i="5"/>
  <c r="AG67" i="5"/>
  <c r="AH28" i="5"/>
  <c r="AF30" i="5"/>
  <c r="U72" i="6"/>
  <c r="P22" i="6"/>
  <c r="Q19" i="6" s="1"/>
  <c r="Q21" i="6" s="1"/>
  <c r="P25" i="6"/>
  <c r="P26" i="6" s="1"/>
  <c r="O71" i="36"/>
  <c r="P45" i="36"/>
  <c r="P58" i="36" s="1"/>
  <c r="O70" i="36"/>
  <c r="P44" i="36"/>
  <c r="P57" i="36" s="1"/>
  <c r="Q33" i="36"/>
  <c r="J59" i="36"/>
  <c r="J69" i="36"/>
  <c r="J72" i="36" s="1"/>
  <c r="K43" i="36"/>
  <c r="K46" i="36" s="1"/>
  <c r="J25" i="5"/>
  <c r="J38" i="5" s="1"/>
  <c r="J51" i="5" s="1"/>
  <c r="J64" i="5" s="1"/>
  <c r="Q32" i="5"/>
  <c r="G23" i="18"/>
  <c r="G52" i="18"/>
  <c r="T59" i="6"/>
  <c r="T74" i="6"/>
  <c r="U12" i="6"/>
  <c r="H5" i="28"/>
  <c r="V13" i="6"/>
  <c r="M28" i="34"/>
  <c r="M29" i="6"/>
  <c r="M40" i="6" s="1"/>
  <c r="C33" i="14"/>
  <c r="H23" i="18" l="1"/>
  <c r="H52" i="18"/>
  <c r="U18" i="30"/>
  <c r="U19" i="30"/>
  <c r="U33" i="30"/>
  <c r="U28" i="30"/>
  <c r="U20" i="30"/>
  <c r="U29" i="30"/>
  <c r="U30" i="30"/>
  <c r="U32" i="30"/>
  <c r="U10" i="30"/>
  <c r="U31" i="30"/>
  <c r="O34" i="34"/>
  <c r="O42" i="34"/>
  <c r="O37" i="34"/>
  <c r="O36" i="34"/>
  <c r="O40" i="34"/>
  <c r="O33" i="34"/>
  <c r="O43" i="34"/>
  <c r="O35" i="34"/>
  <c r="O38" i="34"/>
  <c r="O41" i="34"/>
  <c r="O39" i="34"/>
  <c r="O44" i="34"/>
  <c r="O32" i="34"/>
  <c r="O33" i="6"/>
  <c r="P30" i="6" s="1"/>
  <c r="P32" i="6" s="1"/>
  <c r="O43" i="6"/>
  <c r="O42" i="6"/>
  <c r="O51" i="6" s="1"/>
  <c r="P42" i="6"/>
  <c r="P51" i="6" s="1"/>
  <c r="Q42" i="6"/>
  <c r="Q51" i="6" s="1"/>
  <c r="R42" i="6"/>
  <c r="R51" i="6" s="1"/>
  <c r="J5" i="11"/>
  <c r="L4" i="10"/>
  <c r="V14" i="6"/>
  <c r="V72" i="6" s="1"/>
  <c r="Q4" i="34"/>
  <c r="L4" i="31"/>
  <c r="M4" i="25"/>
  <c r="M4" i="36"/>
  <c r="M4" i="5"/>
  <c r="L6" i="8"/>
  <c r="W6" i="30"/>
  <c r="K4" i="12"/>
  <c r="L6" i="9"/>
  <c r="T31" i="6"/>
  <c r="T42" i="6"/>
  <c r="T20" i="6"/>
  <c r="S42" i="6"/>
  <c r="S51" i="6" s="1"/>
  <c r="U24" i="6" a="1"/>
  <c r="U24" i="6" s="1"/>
  <c r="U46" i="6" a="1"/>
  <c r="U46" i="6" s="1"/>
  <c r="U35" i="6" a="1"/>
  <c r="U35" i="6" s="1"/>
  <c r="K5" i="10"/>
  <c r="K7" i="9"/>
  <c r="L5" i="36"/>
  <c r="J5" i="12"/>
  <c r="K5" i="31"/>
  <c r="I6" i="11"/>
  <c r="L5" i="25"/>
  <c r="K7" i="8"/>
  <c r="P5" i="34"/>
  <c r="V7" i="30"/>
  <c r="L5" i="5"/>
  <c r="J6" i="10"/>
  <c r="H7" i="11"/>
  <c r="K6" i="25"/>
  <c r="K6" i="36"/>
  <c r="I6" i="12"/>
  <c r="I39" i="12" s="1"/>
  <c r="I51" i="12" s="1"/>
  <c r="I62" i="12" s="1"/>
  <c r="J8" i="9"/>
  <c r="J6" i="31"/>
  <c r="J8" i="8"/>
  <c r="O6" i="34"/>
  <c r="U8" i="30"/>
  <c r="K6" i="5"/>
  <c r="V12" i="6"/>
  <c r="J5" i="28" s="1"/>
  <c r="I3" i="16"/>
  <c r="I3" i="17"/>
  <c r="K3" i="10"/>
  <c r="L3" i="25"/>
  <c r="L3" i="36"/>
  <c r="L25" i="36" s="1"/>
  <c r="L38" i="36" s="1"/>
  <c r="L51" i="36" s="1"/>
  <c r="L64" i="36" s="1"/>
  <c r="I4" i="11"/>
  <c r="J3" i="12"/>
  <c r="K5" i="8"/>
  <c r="P3" i="34"/>
  <c r="K5" i="9"/>
  <c r="L3" i="5"/>
  <c r="U15" i="6"/>
  <c r="K3" i="31"/>
  <c r="V5" i="30"/>
  <c r="T31" i="36"/>
  <c r="T30" i="36"/>
  <c r="S33" i="36"/>
  <c r="R32" i="5"/>
  <c r="T31" i="5"/>
  <c r="AA56" i="5"/>
  <c r="AE71" i="36"/>
  <c r="AG32" i="36"/>
  <c r="AF45" i="36"/>
  <c r="AF58" i="36" s="1"/>
  <c r="AA69" i="5"/>
  <c r="AB43" i="5"/>
  <c r="AG30" i="5"/>
  <c r="AI28" i="5"/>
  <c r="AH67" i="5"/>
  <c r="AM27" i="5"/>
  <c r="AL66" i="5"/>
  <c r="AL40" i="5"/>
  <c r="AL53" i="5" s="1"/>
  <c r="P70" i="36"/>
  <c r="Q44" i="36"/>
  <c r="Q57" i="36" s="1"/>
  <c r="P71" i="36"/>
  <c r="Q45" i="36"/>
  <c r="Q58" i="36" s="1"/>
  <c r="Q71" i="36" s="1"/>
  <c r="K56" i="36"/>
  <c r="K25" i="5"/>
  <c r="K38" i="5" s="1"/>
  <c r="K51" i="5" s="1"/>
  <c r="K64" i="5" s="1"/>
  <c r="I6" i="18"/>
  <c r="I23" i="18" s="1"/>
  <c r="I5" i="28"/>
  <c r="U59" i="6"/>
  <c r="U74" i="6"/>
  <c r="Q25" i="6"/>
  <c r="Q26" i="6" s="1"/>
  <c r="W13" i="6"/>
  <c r="N28" i="34"/>
  <c r="E54" i="8"/>
  <c r="E53" i="8"/>
  <c r="O99" i="6" l="1" a="1"/>
  <c r="O99" i="6" s="1"/>
  <c r="O94" i="6" a="1"/>
  <c r="O94" i="6" s="1"/>
  <c r="S94" i="6" a="1"/>
  <c r="S94" i="6" s="1"/>
  <c r="S99" i="6" a="1"/>
  <c r="S99" i="6" s="1"/>
  <c r="R99" i="6" a="1"/>
  <c r="R99" i="6" s="1"/>
  <c r="R94" i="6" a="1"/>
  <c r="R94" i="6" s="1"/>
  <c r="Q99" i="6" a="1"/>
  <c r="Q99" i="6" s="1"/>
  <c r="Q94" i="6" a="1"/>
  <c r="Q94" i="6" s="1"/>
  <c r="P99" i="6" a="1"/>
  <c r="P99" i="6" s="1"/>
  <c r="P94" i="6" a="1"/>
  <c r="P94" i="6" s="1"/>
  <c r="O101" i="6"/>
  <c r="U31" i="6"/>
  <c r="U42" i="6"/>
  <c r="U20" i="6"/>
  <c r="P39" i="34"/>
  <c r="P34" i="34"/>
  <c r="P42" i="34"/>
  <c r="P36" i="34"/>
  <c r="P40" i="34"/>
  <c r="P33" i="34"/>
  <c r="P37" i="34"/>
  <c r="P32" i="34"/>
  <c r="P44" i="34"/>
  <c r="P35" i="34"/>
  <c r="P38" i="34"/>
  <c r="P41" i="34"/>
  <c r="P43" i="34"/>
  <c r="M6" i="9"/>
  <c r="K5" i="11"/>
  <c r="N4" i="36"/>
  <c r="M6" i="8"/>
  <c r="X6" i="30"/>
  <c r="W14" i="6"/>
  <c r="W72" i="6" s="1"/>
  <c r="N4" i="5"/>
  <c r="M4" i="10"/>
  <c r="M4" i="31"/>
  <c r="N4" i="25"/>
  <c r="R4" i="34"/>
  <c r="L4" i="12"/>
  <c r="V31" i="30"/>
  <c r="V28" i="30"/>
  <c r="V18" i="30"/>
  <c r="V20" i="30"/>
  <c r="V19" i="30"/>
  <c r="V33" i="30"/>
  <c r="V30" i="30"/>
  <c r="V29" i="30"/>
  <c r="V10" i="30"/>
  <c r="V32" i="30"/>
  <c r="V46" i="6" a="1"/>
  <c r="V46" i="6" s="1"/>
  <c r="V35" i="6" a="1"/>
  <c r="V35" i="6" s="1"/>
  <c r="V24" i="6" a="1"/>
  <c r="V24" i="6" s="1"/>
  <c r="L5" i="31"/>
  <c r="L5" i="10"/>
  <c r="M5" i="5"/>
  <c r="M5" i="36"/>
  <c r="K5" i="12"/>
  <c r="L7" i="8"/>
  <c r="Q5" i="34"/>
  <c r="W7" i="30"/>
  <c r="J6" i="11"/>
  <c r="M5" i="25"/>
  <c r="L7" i="9"/>
  <c r="V74" i="6"/>
  <c r="V59" i="6"/>
  <c r="W12" i="6"/>
  <c r="X5" i="30" s="1"/>
  <c r="J6" i="18"/>
  <c r="J23" i="18" s="1"/>
  <c r="K6" i="31"/>
  <c r="J6" i="12"/>
  <c r="J39" i="12" s="1"/>
  <c r="J51" i="12" s="1"/>
  <c r="J62" i="12" s="1"/>
  <c r="L6" i="5"/>
  <c r="I7" i="11"/>
  <c r="L6" i="25"/>
  <c r="L6" i="36"/>
  <c r="K6" i="10"/>
  <c r="K8" i="9"/>
  <c r="V8" i="30"/>
  <c r="K8" i="8"/>
  <c r="P6" i="34"/>
  <c r="J3" i="16"/>
  <c r="J3" i="17"/>
  <c r="L3" i="31"/>
  <c r="K3" i="12"/>
  <c r="M3" i="5"/>
  <c r="M25" i="5" s="1"/>
  <c r="M38" i="5" s="1"/>
  <c r="M51" i="5" s="1"/>
  <c r="M64" i="5" s="1"/>
  <c r="Q3" i="34"/>
  <c r="M3" i="25"/>
  <c r="M3" i="36"/>
  <c r="M25" i="36" s="1"/>
  <c r="M38" i="36" s="1"/>
  <c r="M51" i="36" s="1"/>
  <c r="M64" i="36" s="1"/>
  <c r="J4" i="11"/>
  <c r="L3" i="10"/>
  <c r="L5" i="9"/>
  <c r="W5" i="30"/>
  <c r="V15" i="6"/>
  <c r="L5" i="8"/>
  <c r="U30" i="36"/>
  <c r="T33" i="36"/>
  <c r="Q70" i="36"/>
  <c r="R44" i="36"/>
  <c r="R57" i="36" s="1"/>
  <c r="U31" i="36"/>
  <c r="S32" i="5"/>
  <c r="R33" i="5"/>
  <c r="R35" i="5" s="1"/>
  <c r="U31" i="5"/>
  <c r="AB56" i="5"/>
  <c r="AB69" i="5" s="1"/>
  <c r="AF71" i="36"/>
  <c r="AH32" i="36"/>
  <c r="AG45" i="36"/>
  <c r="AG58" i="36" s="1"/>
  <c r="AJ28" i="5"/>
  <c r="AI67" i="5"/>
  <c r="AM40" i="5"/>
  <c r="AM53" i="5" s="1"/>
  <c r="AM66" i="5" s="1"/>
  <c r="AN27" i="5"/>
  <c r="AH30" i="5"/>
  <c r="T51" i="6"/>
  <c r="I52" i="18"/>
  <c r="I36" i="18"/>
  <c r="K59" i="36"/>
  <c r="K69" i="36"/>
  <c r="K72" i="36" s="1"/>
  <c r="L43" i="36"/>
  <c r="L46" i="36" s="1"/>
  <c r="L25" i="5"/>
  <c r="L38" i="5" s="1"/>
  <c r="L51" i="5" s="1"/>
  <c r="L64" i="5" s="1"/>
  <c r="X13" i="6"/>
  <c r="O28" i="34"/>
  <c r="O44" i="6"/>
  <c r="P41" i="6" s="1"/>
  <c r="P43" i="6" s="1"/>
  <c r="F24" i="30"/>
  <c r="F23" i="30"/>
  <c r="F11" i="30"/>
  <c r="M3" i="10" l="1"/>
  <c r="K6" i="18"/>
  <c r="X12" i="6"/>
  <c r="L3" i="16" s="1"/>
  <c r="T99" i="6" a="1"/>
  <c r="T99" i="6" s="1"/>
  <c r="T94" i="6" a="1"/>
  <c r="T94" i="6" s="1"/>
  <c r="W74" i="6"/>
  <c r="K4" i="11"/>
  <c r="W20" i="30"/>
  <c r="W10" i="30"/>
  <c r="W29" i="30"/>
  <c r="W18" i="30"/>
  <c r="W33" i="30"/>
  <c r="W28" i="30"/>
  <c r="W32" i="30"/>
  <c r="W19" i="30"/>
  <c r="W30" i="30"/>
  <c r="W31" i="30"/>
  <c r="K5" i="28"/>
  <c r="N3" i="36"/>
  <c r="N25" i="36" s="1"/>
  <c r="N38" i="36" s="1"/>
  <c r="N51" i="36" s="1"/>
  <c r="N64" i="36" s="1"/>
  <c r="Q36" i="34"/>
  <c r="Q39" i="34"/>
  <c r="Q32" i="34"/>
  <c r="Q40" i="34"/>
  <c r="Q33" i="34"/>
  <c r="Q34" i="34"/>
  <c r="Q37" i="34"/>
  <c r="Q35" i="34"/>
  <c r="Q38" i="34"/>
  <c r="Q42" i="34"/>
  <c r="Q44" i="34"/>
  <c r="Q43" i="34"/>
  <c r="Q41" i="34"/>
  <c r="J36" i="18"/>
  <c r="N3" i="25"/>
  <c r="M5" i="8"/>
  <c r="W35" i="6" a="1"/>
  <c r="W35" i="6" s="1"/>
  <c r="W24" i="6" a="1"/>
  <c r="W24" i="6" s="1"/>
  <c r="W46" i="6" a="1"/>
  <c r="W46" i="6" s="1"/>
  <c r="L5" i="12"/>
  <c r="N5" i="25"/>
  <c r="M5" i="10"/>
  <c r="M7" i="8"/>
  <c r="R5" i="34"/>
  <c r="X7" i="30"/>
  <c r="N5" i="5"/>
  <c r="N5" i="36"/>
  <c r="M5" i="31"/>
  <c r="K6" i="11"/>
  <c r="M7" i="9"/>
  <c r="J52" i="18"/>
  <c r="N4" i="10"/>
  <c r="N6" i="9"/>
  <c r="O4" i="36"/>
  <c r="N4" i="31"/>
  <c r="N6" i="8"/>
  <c r="X14" i="6"/>
  <c r="X72" i="6" s="1"/>
  <c r="M4" i="12"/>
  <c r="O4" i="5"/>
  <c r="S4" i="34"/>
  <c r="O4" i="25"/>
  <c r="Y6" i="30"/>
  <c r="L5" i="11"/>
  <c r="M3" i="31"/>
  <c r="L3" i="12"/>
  <c r="K3" i="16"/>
  <c r="V31" i="6"/>
  <c r="V42" i="6"/>
  <c r="V20" i="6"/>
  <c r="W59" i="6"/>
  <c r="W15" i="6"/>
  <c r="N6" i="25" s="1"/>
  <c r="K3" i="17"/>
  <c r="R3" i="34"/>
  <c r="N3" i="5"/>
  <c r="N25" i="5" s="1"/>
  <c r="N38" i="5" s="1"/>
  <c r="N51" i="5" s="1"/>
  <c r="N64" i="5" s="1"/>
  <c r="M5" i="9"/>
  <c r="L8" i="8"/>
  <c r="Q6" i="34"/>
  <c r="W8" i="30"/>
  <c r="M6" i="5"/>
  <c r="M6" i="25"/>
  <c r="M6" i="36"/>
  <c r="J7" i="11"/>
  <c r="L6" i="10"/>
  <c r="L8" i="9"/>
  <c r="K6" i="12"/>
  <c r="K39" i="12" s="1"/>
  <c r="K51" i="12" s="1"/>
  <c r="K62" i="12" s="1"/>
  <c r="L6" i="31"/>
  <c r="L3" i="17"/>
  <c r="N5" i="9"/>
  <c r="N3" i="31"/>
  <c r="N5" i="8"/>
  <c r="Y5" i="30"/>
  <c r="O3" i="5"/>
  <c r="S3" i="34"/>
  <c r="O3" i="25"/>
  <c r="L4" i="11"/>
  <c r="M3" i="12"/>
  <c r="X15" i="6"/>
  <c r="N3" i="10"/>
  <c r="R70" i="36"/>
  <c r="S44" i="36"/>
  <c r="S57" i="36" s="1"/>
  <c r="V31" i="36"/>
  <c r="U33" i="36"/>
  <c r="V30" i="36"/>
  <c r="AC43" i="5"/>
  <c r="AC56" i="5" s="1"/>
  <c r="AC69" i="5" s="1"/>
  <c r="T32" i="5"/>
  <c r="S33" i="5"/>
  <c r="S35" i="5" s="1"/>
  <c r="V31" i="5"/>
  <c r="AG71" i="36"/>
  <c r="AH45" i="36"/>
  <c r="AH58" i="36" s="1"/>
  <c r="AI32" i="36"/>
  <c r="AI30" i="5"/>
  <c r="AO27" i="5"/>
  <c r="AN40" i="5"/>
  <c r="AN53" i="5" s="1"/>
  <c r="AN66" i="5"/>
  <c r="AK28" i="5"/>
  <c r="AJ67" i="5"/>
  <c r="P36" i="6"/>
  <c r="P37" i="6" s="1"/>
  <c r="P52" i="6"/>
  <c r="U51" i="6"/>
  <c r="L56" i="36"/>
  <c r="X59" i="6"/>
  <c r="X74" i="6"/>
  <c r="P47" i="6"/>
  <c r="Y13" i="6"/>
  <c r="K52" i="18"/>
  <c r="K23" i="18"/>
  <c r="K36" i="18"/>
  <c r="L5" i="28"/>
  <c r="L6" i="18"/>
  <c r="Y12" i="6"/>
  <c r="P28" i="34"/>
  <c r="R6" i="34" l="1"/>
  <c r="K7" i="11"/>
  <c r="X8" i="30"/>
  <c r="O3" i="36"/>
  <c r="O25" i="36" s="1"/>
  <c r="O38" i="36" s="1"/>
  <c r="O51" i="36" s="1"/>
  <c r="O64" i="36" s="1"/>
  <c r="U99" i="6" a="1"/>
  <c r="U99" i="6" s="1"/>
  <c r="U94" i="6" a="1"/>
  <c r="U94" i="6" s="1"/>
  <c r="P79" i="6" a="1"/>
  <c r="P79" i="6" s="1"/>
  <c r="P85" i="6" a="1"/>
  <c r="P85" i="6" s="1"/>
  <c r="N6" i="36"/>
  <c r="X42" i="6"/>
  <c r="X20" i="6"/>
  <c r="X31" i="6"/>
  <c r="W20" i="6"/>
  <c r="W42" i="6"/>
  <c r="W31" i="6"/>
  <c r="X19" i="30"/>
  <c r="X18" i="30"/>
  <c r="X20" i="30"/>
  <c r="X29" i="30"/>
  <c r="X33" i="30"/>
  <c r="X28" i="30"/>
  <c r="X10" i="30"/>
  <c r="X30" i="30"/>
  <c r="X31" i="30"/>
  <c r="X32" i="30"/>
  <c r="N6" i="5"/>
  <c r="R33" i="34"/>
  <c r="R41" i="34"/>
  <c r="R36" i="34"/>
  <c r="R35" i="34"/>
  <c r="R39" i="34"/>
  <c r="R44" i="34"/>
  <c r="R32" i="34"/>
  <c r="R34" i="34"/>
  <c r="R37" i="34"/>
  <c r="R40" i="34"/>
  <c r="R42" i="34"/>
  <c r="R43" i="34"/>
  <c r="R38" i="34"/>
  <c r="O4" i="31"/>
  <c r="O4" i="10"/>
  <c r="O6" i="9"/>
  <c r="N4" i="12"/>
  <c r="P4" i="5"/>
  <c r="T4" i="34"/>
  <c r="P4" i="36"/>
  <c r="O6" i="8"/>
  <c r="Z6" i="30"/>
  <c r="Y14" i="6"/>
  <c r="P4" i="25"/>
  <c r="M5" i="11"/>
  <c r="M8" i="9"/>
  <c r="L6" i="12"/>
  <c r="L39" i="12" s="1"/>
  <c r="L51" i="12" s="1"/>
  <c r="L62" i="12" s="1"/>
  <c r="M8" i="8"/>
  <c r="X46" i="6" a="1"/>
  <c r="X46" i="6" s="1"/>
  <c r="X24" i="6" a="1"/>
  <c r="X24" i="6" s="1"/>
  <c r="X35" i="6" a="1"/>
  <c r="X35" i="6" s="1"/>
  <c r="N7" i="9"/>
  <c r="M5" i="12"/>
  <c r="N5" i="10"/>
  <c r="N7" i="8"/>
  <c r="S5" i="34"/>
  <c r="Y7" i="30"/>
  <c r="O5" i="36"/>
  <c r="O5" i="5"/>
  <c r="N5" i="31"/>
  <c r="O5" i="25"/>
  <c r="L6" i="11"/>
  <c r="M6" i="10"/>
  <c r="M6" i="31"/>
  <c r="M3" i="17"/>
  <c r="M3" i="16"/>
  <c r="O5" i="9"/>
  <c r="O3" i="31"/>
  <c r="O5" i="8"/>
  <c r="Z5" i="30"/>
  <c r="P3" i="5"/>
  <c r="O3" i="10"/>
  <c r="N3" i="12"/>
  <c r="P3" i="25"/>
  <c r="T3" i="34"/>
  <c r="P3" i="36"/>
  <c r="P25" i="36" s="1"/>
  <c r="P38" i="36" s="1"/>
  <c r="P51" i="36" s="1"/>
  <c r="P64" i="36" s="1"/>
  <c r="M4" i="11"/>
  <c r="Y15" i="6"/>
  <c r="N8" i="9"/>
  <c r="N6" i="31"/>
  <c r="N8" i="8"/>
  <c r="S6" i="34"/>
  <c r="Y8" i="30"/>
  <c r="O6" i="5"/>
  <c r="L7" i="11"/>
  <c r="M6" i="12"/>
  <c r="M39" i="12" s="1"/>
  <c r="M51" i="12" s="1"/>
  <c r="M62" i="12" s="1"/>
  <c r="N6" i="10"/>
  <c r="O6" i="25"/>
  <c r="O6" i="36"/>
  <c r="S70" i="36"/>
  <c r="T44" i="36"/>
  <c r="T57" i="36" s="1"/>
  <c r="W31" i="36"/>
  <c r="W30" i="36"/>
  <c r="V33" i="36"/>
  <c r="AD43" i="5"/>
  <c r="U32" i="5"/>
  <c r="T33" i="5"/>
  <c r="T35" i="5" s="1"/>
  <c r="W31" i="5"/>
  <c r="AD56" i="5"/>
  <c r="AD69" i="5" s="1"/>
  <c r="AH71" i="36"/>
  <c r="AI45" i="36"/>
  <c r="AI58" i="36" s="1"/>
  <c r="AJ32" i="36"/>
  <c r="AL28" i="5"/>
  <c r="AK67" i="5"/>
  <c r="AO40" i="5"/>
  <c r="AO53" i="5" s="1"/>
  <c r="AO66" i="5" s="1"/>
  <c r="AJ30" i="5"/>
  <c r="P33" i="6"/>
  <c r="Q30" i="6" s="1"/>
  <c r="Q32" i="6" s="1"/>
  <c r="V51" i="6"/>
  <c r="L59" i="36"/>
  <c r="L69" i="36"/>
  <c r="L72" i="36" s="1"/>
  <c r="M43" i="36"/>
  <c r="M46" i="36" s="1"/>
  <c r="O25" i="5"/>
  <c r="O38" i="5" s="1"/>
  <c r="O51" i="5" s="1"/>
  <c r="O64" i="5" s="1"/>
  <c r="Y59" i="6"/>
  <c r="Y74" i="6"/>
  <c r="Z13" i="6"/>
  <c r="P44" i="6"/>
  <c r="Q41" i="6" s="1"/>
  <c r="Q43" i="6" s="1"/>
  <c r="P48" i="6"/>
  <c r="P53" i="6" s="1"/>
  <c r="P55" i="6" s="1"/>
  <c r="L36" i="18"/>
  <c r="L52" i="18"/>
  <c r="L23" i="18"/>
  <c r="M6" i="18"/>
  <c r="M5" i="28"/>
  <c r="Z12" i="6"/>
  <c r="Q28" i="34"/>
  <c r="H54" i="18"/>
  <c r="I54" i="18"/>
  <c r="J54" i="18"/>
  <c r="K54" i="18"/>
  <c r="L54" i="18"/>
  <c r="M54" i="18"/>
  <c r="N54" i="18"/>
  <c r="C22" i="34"/>
  <c r="E22" i="34" s="1"/>
  <c r="C20" i="34"/>
  <c r="E20" i="34" s="1"/>
  <c r="C17" i="34"/>
  <c r="E17" i="34" s="1"/>
  <c r="C12" i="34"/>
  <c r="E12" i="34" s="1"/>
  <c r="C28" i="34"/>
  <c r="V94" i="6" l="1" a="1"/>
  <c r="V94" i="6" s="1"/>
  <c r="V99" i="6" a="1"/>
  <c r="V99" i="6" s="1"/>
  <c r="Y46" i="6" a="1"/>
  <c r="Y46" i="6" s="1"/>
  <c r="Y24" i="6" a="1"/>
  <c r="Y24" i="6" s="1"/>
  <c r="Y35" i="6" a="1"/>
  <c r="Y35" i="6" s="1"/>
  <c r="O7" i="9"/>
  <c r="N5" i="12"/>
  <c r="P5" i="25"/>
  <c r="O5" i="10"/>
  <c r="O7" i="8"/>
  <c r="T5" i="34"/>
  <c r="Z7" i="30"/>
  <c r="P5" i="5"/>
  <c r="P5" i="36"/>
  <c r="O5" i="31"/>
  <c r="M6" i="11"/>
  <c r="Y72" i="6"/>
  <c r="O4" i="12"/>
  <c r="Q4" i="25"/>
  <c r="Q4" i="36"/>
  <c r="P6" i="8"/>
  <c r="AA6" i="30"/>
  <c r="Z14" i="6"/>
  <c r="Z72" i="6" s="1"/>
  <c r="AA13" i="6"/>
  <c r="P6" i="9"/>
  <c r="Q4" i="5"/>
  <c r="U4" i="34"/>
  <c r="P4" i="10"/>
  <c r="P4" i="31"/>
  <c r="N5" i="11"/>
  <c r="Y31" i="30"/>
  <c r="Y10" i="30"/>
  <c r="Y32" i="30"/>
  <c r="Y29" i="30"/>
  <c r="Y19" i="30"/>
  <c r="Y28" i="30"/>
  <c r="Y20" i="30"/>
  <c r="Y18" i="30"/>
  <c r="Y33" i="30"/>
  <c r="Y30" i="30"/>
  <c r="S38" i="34"/>
  <c r="S33" i="34"/>
  <c r="S41" i="34"/>
  <c r="S42" i="34"/>
  <c r="S44" i="34"/>
  <c r="S35" i="34"/>
  <c r="S39" i="34"/>
  <c r="S32" i="34"/>
  <c r="S36" i="34"/>
  <c r="S43" i="34"/>
  <c r="S40" i="34"/>
  <c r="S34" i="34"/>
  <c r="S37" i="34"/>
  <c r="Y42" i="6"/>
  <c r="Y20" i="6"/>
  <c r="Y31" i="6"/>
  <c r="N3" i="17"/>
  <c r="N3" i="16"/>
  <c r="O3" i="12"/>
  <c r="P5" i="9"/>
  <c r="P3" i="31"/>
  <c r="N4" i="11"/>
  <c r="Q3" i="25"/>
  <c r="U3" i="34"/>
  <c r="AA5" i="30"/>
  <c r="P3" i="10"/>
  <c r="Q3" i="36"/>
  <c r="Q25" i="36" s="1"/>
  <c r="Q38" i="36" s="1"/>
  <c r="Q51" i="36" s="1"/>
  <c r="Q64" i="36" s="1"/>
  <c r="Q3" i="5"/>
  <c r="Z15" i="6"/>
  <c r="P5" i="8"/>
  <c r="AA12" i="6"/>
  <c r="O8" i="9"/>
  <c r="O6" i="31"/>
  <c r="O6" i="10"/>
  <c r="N6" i="12"/>
  <c r="N39" i="12" s="1"/>
  <c r="N51" i="12" s="1"/>
  <c r="N62" i="12" s="1"/>
  <c r="T6" i="34"/>
  <c r="P6" i="25"/>
  <c r="M7" i="11"/>
  <c r="P6" i="36"/>
  <c r="O8" i="8"/>
  <c r="Z8" i="30"/>
  <c r="P6" i="5"/>
  <c r="T70" i="36"/>
  <c r="U44" i="36"/>
  <c r="U57" i="36" s="1"/>
  <c r="W33" i="36"/>
  <c r="X30" i="36"/>
  <c r="X31" i="36"/>
  <c r="V32" i="5"/>
  <c r="U33" i="5"/>
  <c r="U35" i="5" s="1"/>
  <c r="X31" i="5"/>
  <c r="AE43" i="5"/>
  <c r="AJ58" i="36"/>
  <c r="AI71" i="36"/>
  <c r="AJ45" i="36"/>
  <c r="AK32" i="36"/>
  <c r="AK30" i="5"/>
  <c r="AM28" i="5"/>
  <c r="AL67" i="5"/>
  <c r="Q36" i="6"/>
  <c r="Q37" i="6" s="1"/>
  <c r="Q52" i="6"/>
  <c r="Q33" i="6"/>
  <c r="R30" i="6" s="1"/>
  <c r="W51" i="6"/>
  <c r="M56" i="36"/>
  <c r="P25" i="5"/>
  <c r="P38" i="5" s="1"/>
  <c r="P51" i="5" s="1"/>
  <c r="P64" i="5" s="1"/>
  <c r="Z59" i="6"/>
  <c r="Z74" i="6"/>
  <c r="Q47" i="6"/>
  <c r="Q48" i="6" s="1"/>
  <c r="M36" i="18"/>
  <c r="M52" i="18"/>
  <c r="M23" i="18"/>
  <c r="N6" i="18"/>
  <c r="N5" i="28"/>
  <c r="R28" i="34"/>
  <c r="Q22" i="6"/>
  <c r="R19" i="6" s="1"/>
  <c r="R21" i="6" s="1"/>
  <c r="W94" i="6" l="1" a="1"/>
  <c r="W94" i="6" s="1"/>
  <c r="W99" i="6" a="1"/>
  <c r="W99" i="6" s="1"/>
  <c r="Q79" i="6" a="1"/>
  <c r="Q79" i="6" s="1"/>
  <c r="Q85" i="6" a="1"/>
  <c r="Q85" i="6" s="1"/>
  <c r="Q4" i="10"/>
  <c r="O5" i="11"/>
  <c r="Q6" i="9"/>
  <c r="Q4" i="31"/>
  <c r="P4" i="12"/>
  <c r="R4" i="5"/>
  <c r="AB13" i="6"/>
  <c r="AA14" i="6"/>
  <c r="Q6" i="8"/>
  <c r="V4" i="34"/>
  <c r="R4" i="36"/>
  <c r="R4" i="25"/>
  <c r="AB6" i="30"/>
  <c r="Z24" i="6" a="1"/>
  <c r="Z24" i="6" s="1"/>
  <c r="Z35" i="6" a="1"/>
  <c r="Z35" i="6" s="1"/>
  <c r="Z46" i="6" a="1"/>
  <c r="Z46" i="6" s="1"/>
  <c r="N6" i="11"/>
  <c r="Q5" i="36"/>
  <c r="P7" i="9"/>
  <c r="O5" i="12"/>
  <c r="P5" i="10"/>
  <c r="Q5" i="25"/>
  <c r="P7" i="8"/>
  <c r="U5" i="34"/>
  <c r="AA7" i="30"/>
  <c r="Q5" i="5"/>
  <c r="P5" i="31"/>
  <c r="Z31" i="6"/>
  <c r="C31" i="6" s="1"/>
  <c r="Z42" i="6"/>
  <c r="C42" i="6" s="1"/>
  <c r="Z20" i="6"/>
  <c r="C20" i="6" s="1"/>
  <c r="Z10" i="30"/>
  <c r="Z29" i="30"/>
  <c r="Z33" i="30"/>
  <c r="Z30" i="30"/>
  <c r="Z20" i="30"/>
  <c r="Z19" i="30"/>
  <c r="Z28" i="30"/>
  <c r="Z31" i="30"/>
  <c r="Z32" i="30"/>
  <c r="Z18" i="30"/>
  <c r="T35" i="34"/>
  <c r="T38" i="34"/>
  <c r="T42" i="34"/>
  <c r="T39" i="34"/>
  <c r="T44" i="34"/>
  <c r="T32" i="34"/>
  <c r="T33" i="34"/>
  <c r="T43" i="34"/>
  <c r="T36" i="34"/>
  <c r="T34" i="34"/>
  <c r="T41" i="34"/>
  <c r="T37" i="34"/>
  <c r="T40" i="34"/>
  <c r="R36" i="6"/>
  <c r="R37" i="6" s="1"/>
  <c r="R32" i="6"/>
  <c r="R33" i="6" s="1"/>
  <c r="S30" i="6" s="1"/>
  <c r="S32" i="6" s="1"/>
  <c r="AB12" i="6"/>
  <c r="V3" i="34"/>
  <c r="V28" i="34" s="1"/>
  <c r="Q3" i="31"/>
  <c r="R3" i="25"/>
  <c r="Q5" i="9"/>
  <c r="Q3" i="10"/>
  <c r="AA15" i="6"/>
  <c r="O4" i="11"/>
  <c r="P3" i="12"/>
  <c r="Q5" i="8"/>
  <c r="R3" i="5"/>
  <c r="R25" i="5" s="1"/>
  <c r="R38" i="5" s="1"/>
  <c r="R51" i="5" s="1"/>
  <c r="R64" i="5" s="1"/>
  <c r="AA74" i="6"/>
  <c r="R3" i="36"/>
  <c r="R25" i="36" s="1"/>
  <c r="R38" i="36" s="1"/>
  <c r="R51" i="36" s="1"/>
  <c r="R64" i="36" s="1"/>
  <c r="AB5" i="30"/>
  <c r="AA59" i="6"/>
  <c r="N7" i="11"/>
  <c r="P8" i="9"/>
  <c r="P6" i="31"/>
  <c r="O6" i="12"/>
  <c r="O39" i="12" s="1"/>
  <c r="O51" i="12" s="1"/>
  <c r="O62" i="12" s="1"/>
  <c r="Q6" i="25"/>
  <c r="Q6" i="36"/>
  <c r="P6" i="10"/>
  <c r="P8" i="8"/>
  <c r="AA8" i="30"/>
  <c r="Q6" i="5"/>
  <c r="U6" i="34"/>
  <c r="Y31" i="36"/>
  <c r="U70" i="36"/>
  <c r="V44" i="36"/>
  <c r="V57" i="36" s="1"/>
  <c r="Y30" i="36"/>
  <c r="X33" i="36"/>
  <c r="W32" i="5"/>
  <c r="V33" i="5"/>
  <c r="V35" i="5" s="1"/>
  <c r="Y31" i="5"/>
  <c r="AE56" i="5"/>
  <c r="AK45" i="36"/>
  <c r="AL32" i="36"/>
  <c r="AK58" i="36"/>
  <c r="AJ71" i="36"/>
  <c r="AL30" i="5"/>
  <c r="AM67" i="5"/>
  <c r="AN28" i="5"/>
  <c r="Q53" i="6"/>
  <c r="Q55" i="6" s="1"/>
  <c r="R22" i="6"/>
  <c r="S19" i="6" s="1"/>
  <c r="S21" i="6" s="1"/>
  <c r="R25" i="6"/>
  <c r="R26" i="6" s="1"/>
  <c r="Q44" i="6"/>
  <c r="R41" i="6" s="1"/>
  <c r="P89" i="6"/>
  <c r="X51" i="6"/>
  <c r="M59" i="36"/>
  <c r="M69" i="36"/>
  <c r="M72" i="36" s="1"/>
  <c r="N43" i="36"/>
  <c r="N46" i="36" s="1"/>
  <c r="Q25" i="5"/>
  <c r="Q38" i="5" s="1"/>
  <c r="Q51" i="5" s="1"/>
  <c r="Q64" i="5" s="1"/>
  <c r="N36" i="18"/>
  <c r="N52" i="18"/>
  <c r="N23" i="18"/>
  <c r="S28" i="34"/>
  <c r="X99" i="6" l="1" a="1"/>
  <c r="X99" i="6" s="1"/>
  <c r="X94" i="6" a="1"/>
  <c r="X94" i="6" s="1"/>
  <c r="AA31" i="6"/>
  <c r="D31" i="6" s="1"/>
  <c r="AA42" i="6"/>
  <c r="D42" i="6" s="1"/>
  <c r="AA20" i="6"/>
  <c r="U32" i="34"/>
  <c r="U40" i="34"/>
  <c r="U35" i="34"/>
  <c r="U34" i="34"/>
  <c r="U38" i="34"/>
  <c r="U43" i="34"/>
  <c r="U42" i="34"/>
  <c r="U33" i="34"/>
  <c r="U36" i="34"/>
  <c r="U39" i="34"/>
  <c r="U41" i="34"/>
  <c r="U44" i="34"/>
  <c r="U37" i="34"/>
  <c r="AA24" i="6" a="1"/>
  <c r="AA24" i="6" s="1"/>
  <c r="AA35" i="6" a="1"/>
  <c r="AA35" i="6" s="1"/>
  <c r="AA46" i="6" a="1"/>
  <c r="AA46" i="6" s="1"/>
  <c r="O6" i="11"/>
  <c r="Q5" i="10"/>
  <c r="Q5" i="31"/>
  <c r="R5" i="25"/>
  <c r="Q7" i="9"/>
  <c r="P5" i="12"/>
  <c r="R5" i="36"/>
  <c r="Q7" i="8"/>
  <c r="V5" i="34"/>
  <c r="AB7" i="30"/>
  <c r="R5" i="5"/>
  <c r="AA72" i="6"/>
  <c r="R4" i="31"/>
  <c r="Q4" i="12"/>
  <c r="R4" i="10"/>
  <c r="P5" i="11"/>
  <c r="S4" i="25"/>
  <c r="S4" i="5"/>
  <c r="R6" i="9"/>
  <c r="AC6" i="30"/>
  <c r="R6" i="8"/>
  <c r="W4" i="34"/>
  <c r="S4" i="36"/>
  <c r="AC13" i="6"/>
  <c r="AB14" i="6"/>
  <c r="AA33" i="30"/>
  <c r="AA18" i="30"/>
  <c r="AA31" i="30"/>
  <c r="AA10" i="30"/>
  <c r="AA20" i="30"/>
  <c r="AA30" i="30"/>
  <c r="AA28" i="30"/>
  <c r="AA32" i="30"/>
  <c r="AA19" i="30"/>
  <c r="AA29" i="30"/>
  <c r="R47" i="6"/>
  <c r="R48" i="6" s="1"/>
  <c r="R53" i="6" s="1"/>
  <c r="R55" i="6" s="1"/>
  <c r="R43" i="6"/>
  <c r="R6" i="25"/>
  <c r="Q6" i="31"/>
  <c r="P6" i="12"/>
  <c r="P39" i="12" s="1"/>
  <c r="P51" i="12" s="1"/>
  <c r="P62" i="12" s="1"/>
  <c r="Q8" i="8"/>
  <c r="AB8" i="30"/>
  <c r="Q6" i="10"/>
  <c r="O7" i="11"/>
  <c r="Q8" i="9"/>
  <c r="R6" i="36"/>
  <c r="V6" i="34"/>
  <c r="R6" i="5"/>
  <c r="W3" i="34"/>
  <c r="W28" i="34" s="1"/>
  <c r="S3" i="5"/>
  <c r="S25" i="5" s="1"/>
  <c r="S38" i="5" s="1"/>
  <c r="S51" i="5" s="1"/>
  <c r="S64" i="5" s="1"/>
  <c r="AC5" i="30"/>
  <c r="R3" i="31"/>
  <c r="S3" i="25"/>
  <c r="AB15" i="6"/>
  <c r="E31" i="6" s="1"/>
  <c r="R5" i="9"/>
  <c r="R3" i="10"/>
  <c r="P4" i="11"/>
  <c r="S3" i="36"/>
  <c r="S25" i="36" s="1"/>
  <c r="S38" i="36" s="1"/>
  <c r="S51" i="36" s="1"/>
  <c r="S64" i="36" s="1"/>
  <c r="AB59" i="6"/>
  <c r="Q3" i="12"/>
  <c r="R5" i="8"/>
  <c r="AB74" i="6"/>
  <c r="AC12" i="6"/>
  <c r="V70" i="36"/>
  <c r="W44" i="36"/>
  <c r="W57" i="36" s="1"/>
  <c r="Z31" i="36"/>
  <c r="Z30" i="36"/>
  <c r="Y33" i="36"/>
  <c r="X32" i="5"/>
  <c r="W33" i="5"/>
  <c r="W35" i="5" s="1"/>
  <c r="Z31" i="5"/>
  <c r="AE69" i="5"/>
  <c r="AF43" i="5"/>
  <c r="AL45" i="36"/>
  <c r="AL58" i="36" s="1"/>
  <c r="AM32" i="36"/>
  <c r="AK71" i="36"/>
  <c r="AO28" i="5"/>
  <c r="AO67" i="5" s="1"/>
  <c r="AN67" i="5"/>
  <c r="AM30" i="5"/>
  <c r="S22" i="6"/>
  <c r="T19" i="6" s="1"/>
  <c r="T21" i="6" s="1"/>
  <c r="R52" i="6"/>
  <c r="F9" i="10"/>
  <c r="Q89" i="6"/>
  <c r="Y51" i="6"/>
  <c r="N56" i="36"/>
  <c r="S25" i="6"/>
  <c r="S26" i="6" s="1"/>
  <c r="S36" i="6"/>
  <c r="T28" i="34"/>
  <c r="R79" i="6" l="1" a="1"/>
  <c r="R79" i="6" s="1"/>
  <c r="R85" i="6" a="1"/>
  <c r="R85" i="6" s="1"/>
  <c r="Y94" i="6" a="1"/>
  <c r="Y94" i="6" s="1"/>
  <c r="Y99" i="6" a="1"/>
  <c r="Y99" i="6" s="1"/>
  <c r="AB30" i="30"/>
  <c r="AB10" i="30"/>
  <c r="AB31" i="30"/>
  <c r="AB28" i="30"/>
  <c r="AB29" i="30"/>
  <c r="AB32" i="30"/>
  <c r="AB33" i="30"/>
  <c r="AB18" i="30"/>
  <c r="AB42" i="6"/>
  <c r="AB20" i="6"/>
  <c r="AB31" i="6"/>
  <c r="AB35" i="6" a="1"/>
  <c r="AB35" i="6" s="1"/>
  <c r="AB46" i="6" a="1"/>
  <c r="AB46" i="6" s="1"/>
  <c r="AB24" i="6" a="1"/>
  <c r="AB24" i="6" s="1"/>
  <c r="R7" i="9"/>
  <c r="P6" i="11"/>
  <c r="R5" i="10"/>
  <c r="R5" i="31"/>
  <c r="S5" i="5"/>
  <c r="S5" i="25"/>
  <c r="Q5" i="12"/>
  <c r="S5" i="36"/>
  <c r="R7" i="8"/>
  <c r="W5" i="34"/>
  <c r="AC7" i="30"/>
  <c r="AB72" i="6"/>
  <c r="V37" i="34"/>
  <c r="V32" i="34"/>
  <c r="V40" i="34"/>
  <c r="V41" i="34"/>
  <c r="V34" i="34"/>
  <c r="V38" i="34"/>
  <c r="V43" i="34"/>
  <c r="V35" i="34"/>
  <c r="V33" i="34"/>
  <c r="V36" i="34"/>
  <c r="V44" i="34"/>
  <c r="V39" i="34"/>
  <c r="V42" i="34"/>
  <c r="AC14" i="6"/>
  <c r="S4" i="31"/>
  <c r="R4" i="12"/>
  <c r="T4" i="36"/>
  <c r="S4" i="10"/>
  <c r="X4" i="34"/>
  <c r="Q5" i="11"/>
  <c r="AD6" i="30"/>
  <c r="T4" i="25"/>
  <c r="T4" i="5"/>
  <c r="AD13" i="6"/>
  <c r="S6" i="9"/>
  <c r="S6" i="8"/>
  <c r="AA51" i="6"/>
  <c r="AA99" i="6" s="1" a="1"/>
  <c r="AA99" i="6" s="1"/>
  <c r="T3" i="5"/>
  <c r="T25" i="5" s="1"/>
  <c r="T38" i="5" s="1"/>
  <c r="T51" i="5" s="1"/>
  <c r="T64" i="5" s="1"/>
  <c r="S3" i="10"/>
  <c r="R3" i="12"/>
  <c r="S5" i="8"/>
  <c r="AD5" i="30"/>
  <c r="AD12" i="6"/>
  <c r="S3" i="31"/>
  <c r="T3" i="25"/>
  <c r="S5" i="9"/>
  <c r="Q4" i="11"/>
  <c r="X3" i="34"/>
  <c r="X28" i="34" s="1"/>
  <c r="T3" i="36"/>
  <c r="T25" i="36" s="1"/>
  <c r="T38" i="36" s="1"/>
  <c r="T51" i="36" s="1"/>
  <c r="T64" i="36" s="1"/>
  <c r="AC15" i="6"/>
  <c r="F42" i="6" s="1"/>
  <c r="AC59" i="6"/>
  <c r="AC74" i="6"/>
  <c r="S6" i="25"/>
  <c r="R6" i="31"/>
  <c r="S6" i="5"/>
  <c r="AC8" i="30"/>
  <c r="S6" i="36"/>
  <c r="W6" i="34"/>
  <c r="Q6" i="12"/>
  <c r="Q39" i="12" s="1"/>
  <c r="Q51" i="12" s="1"/>
  <c r="Q62" i="12" s="1"/>
  <c r="R8" i="8"/>
  <c r="R6" i="10"/>
  <c r="P7" i="11"/>
  <c r="R8" i="9"/>
  <c r="E20" i="6"/>
  <c r="E42" i="6"/>
  <c r="AA31" i="36"/>
  <c r="Z33" i="36"/>
  <c r="AA30" i="36"/>
  <c r="W70" i="36"/>
  <c r="X44" i="36"/>
  <c r="X57" i="36" s="1"/>
  <c r="Y32" i="5"/>
  <c r="X33" i="5"/>
  <c r="X35" i="5" s="1"/>
  <c r="AA31" i="5"/>
  <c r="AF56" i="5"/>
  <c r="AL71" i="36"/>
  <c r="AN32" i="36"/>
  <c r="AM45" i="36"/>
  <c r="AM58" i="36" s="1"/>
  <c r="AN30" i="5"/>
  <c r="R44" i="6"/>
  <c r="S41" i="6" s="1"/>
  <c r="D20" i="6"/>
  <c r="S33" i="6"/>
  <c r="T30" i="6" s="1"/>
  <c r="T22" i="6"/>
  <c r="U19" i="6" s="1"/>
  <c r="U21" i="6" s="1"/>
  <c r="G9" i="10"/>
  <c r="Z51" i="6"/>
  <c r="N59" i="36"/>
  <c r="N69" i="36"/>
  <c r="N72" i="36" s="1"/>
  <c r="O43" i="36"/>
  <c r="O46" i="36" s="1"/>
  <c r="T25" i="6"/>
  <c r="T26" i="6" s="1"/>
  <c r="S37" i="6"/>
  <c r="U28" i="34"/>
  <c r="Z94" i="6" l="1" a="1"/>
  <c r="Z94" i="6" s="1"/>
  <c r="Z99" i="6" a="1"/>
  <c r="Z99" i="6" s="1"/>
  <c r="AA94" i="6" a="1"/>
  <c r="AA94" i="6" s="1"/>
  <c r="W34" i="34"/>
  <c r="W42" i="34"/>
  <c r="W37" i="34"/>
  <c r="W41" i="34"/>
  <c r="W38" i="34"/>
  <c r="W43" i="34"/>
  <c r="W44" i="34"/>
  <c r="W33" i="34"/>
  <c r="W32" i="34"/>
  <c r="W35" i="34"/>
  <c r="W39" i="34"/>
  <c r="W40" i="34"/>
  <c r="W36" i="34"/>
  <c r="AC46" i="6" a="1"/>
  <c r="AC46" i="6" s="1"/>
  <c r="AC35" i="6" a="1"/>
  <c r="AC35" i="6" s="1"/>
  <c r="AC24" i="6" a="1"/>
  <c r="AC24" i="6" s="1"/>
  <c r="S7" i="9"/>
  <c r="R5" i="12"/>
  <c r="T5" i="36"/>
  <c r="Q6" i="11"/>
  <c r="S5" i="10"/>
  <c r="S5" i="31"/>
  <c r="T5" i="5"/>
  <c r="T5" i="25"/>
  <c r="S7" i="8"/>
  <c r="X5" i="34"/>
  <c r="AD7" i="30"/>
  <c r="AC72" i="6"/>
  <c r="AC31" i="6"/>
  <c r="AC42" i="6"/>
  <c r="AC20" i="6"/>
  <c r="AE13" i="6"/>
  <c r="T4" i="31"/>
  <c r="S4" i="12"/>
  <c r="U4" i="36"/>
  <c r="T4" i="10"/>
  <c r="R5" i="11"/>
  <c r="AE6" i="30"/>
  <c r="T6" i="9"/>
  <c r="U4" i="5"/>
  <c r="Y4" i="34"/>
  <c r="U4" i="25"/>
  <c r="T6" i="8"/>
  <c r="AD14" i="6"/>
  <c r="AC32" i="30"/>
  <c r="AC10" i="30"/>
  <c r="AC33" i="30"/>
  <c r="AC30" i="30"/>
  <c r="AC28" i="30"/>
  <c r="AC29" i="30"/>
  <c r="AC31" i="30"/>
  <c r="AC18" i="30"/>
  <c r="S47" i="6"/>
  <c r="S48" i="6" s="1"/>
  <c r="S53" i="6" s="1"/>
  <c r="S55" i="6" s="1"/>
  <c r="S43" i="6"/>
  <c r="S44" i="6" s="1"/>
  <c r="T41" i="6" s="1"/>
  <c r="T36" i="6"/>
  <c r="T37" i="6" s="1"/>
  <c r="T32" i="6"/>
  <c r="AB51" i="6"/>
  <c r="AB99" i="6" s="1" a="1"/>
  <c r="AB99" i="6" s="1"/>
  <c r="S6" i="31"/>
  <c r="T6" i="5"/>
  <c r="S8" i="9"/>
  <c r="T6" i="36"/>
  <c r="X6" i="34"/>
  <c r="AD8" i="30"/>
  <c r="R6" i="12"/>
  <c r="R39" i="12" s="1"/>
  <c r="R51" i="12" s="1"/>
  <c r="R62" i="12" s="1"/>
  <c r="S8" i="8"/>
  <c r="S6" i="10"/>
  <c r="Q7" i="11"/>
  <c r="T6" i="25"/>
  <c r="F31" i="6"/>
  <c r="F20" i="6"/>
  <c r="AE12" i="6"/>
  <c r="T3" i="10"/>
  <c r="U3" i="25"/>
  <c r="AE5" i="30"/>
  <c r="U3" i="36"/>
  <c r="U25" i="36" s="1"/>
  <c r="U38" i="36" s="1"/>
  <c r="U51" i="36" s="1"/>
  <c r="U64" i="36" s="1"/>
  <c r="S3" i="12"/>
  <c r="T5" i="8"/>
  <c r="T3" i="31"/>
  <c r="T5" i="9"/>
  <c r="R4" i="11"/>
  <c r="U3" i="5"/>
  <c r="U25" i="5" s="1"/>
  <c r="U38" i="5" s="1"/>
  <c r="U51" i="5" s="1"/>
  <c r="U64" i="5" s="1"/>
  <c r="AD59" i="6"/>
  <c r="Y3" i="34"/>
  <c r="Y28" i="34" s="1"/>
  <c r="AD74" i="6"/>
  <c r="AD15" i="6"/>
  <c r="AB31" i="36"/>
  <c r="AB30" i="36"/>
  <c r="AA33" i="36"/>
  <c r="X70" i="36"/>
  <c r="Y44" i="36"/>
  <c r="Y57" i="36" s="1"/>
  <c r="Z32" i="5"/>
  <c r="Y33" i="5"/>
  <c r="Y35" i="5" s="1"/>
  <c r="AB31" i="5"/>
  <c r="AF69" i="5"/>
  <c r="AG43" i="5"/>
  <c r="AM71" i="36"/>
  <c r="AO32" i="36"/>
  <c r="AN45" i="36"/>
  <c r="AN58" i="36" s="1"/>
  <c r="AO30" i="5"/>
  <c r="S52" i="6"/>
  <c r="R89" i="6"/>
  <c r="H9" i="10" s="1"/>
  <c r="U25" i="6"/>
  <c r="U26" i="6" s="1"/>
  <c r="O56" i="36"/>
  <c r="AB94" i="6" l="1" a="1"/>
  <c r="AB94" i="6" s="1"/>
  <c r="S85" i="6" a="1"/>
  <c r="S85" i="6" s="1"/>
  <c r="S79" i="6" a="1"/>
  <c r="S79" i="6" s="1"/>
  <c r="U6" i="9"/>
  <c r="U6" i="8"/>
  <c r="U4" i="31"/>
  <c r="T4" i="12"/>
  <c r="U4" i="10"/>
  <c r="Z4" i="34"/>
  <c r="S5" i="11"/>
  <c r="V4" i="25"/>
  <c r="AF6" i="30"/>
  <c r="V4" i="5"/>
  <c r="V4" i="36"/>
  <c r="AF13" i="6"/>
  <c r="AE14" i="6"/>
  <c r="AD31" i="6"/>
  <c r="AD20" i="6"/>
  <c r="AD42" i="6"/>
  <c r="AD46" i="6" a="1"/>
  <c r="AD46" i="6" s="1"/>
  <c r="AD24" i="6" a="1"/>
  <c r="AD24" i="6" s="1"/>
  <c r="AD35" i="6" a="1"/>
  <c r="AD35" i="6" s="1"/>
  <c r="T7" i="9"/>
  <c r="S5" i="12"/>
  <c r="U5" i="36"/>
  <c r="R6" i="11"/>
  <c r="T5" i="10"/>
  <c r="U5" i="25"/>
  <c r="U5" i="5"/>
  <c r="T7" i="8"/>
  <c r="Y5" i="34"/>
  <c r="AE7" i="30"/>
  <c r="T5" i="31"/>
  <c r="AD72" i="6"/>
  <c r="AD29" i="30"/>
  <c r="AD32" i="30"/>
  <c r="AD10" i="30"/>
  <c r="AD33" i="30"/>
  <c r="AD31" i="30"/>
  <c r="AD30" i="30"/>
  <c r="AD28" i="30"/>
  <c r="AD18" i="30"/>
  <c r="X39" i="34"/>
  <c r="X34" i="34"/>
  <c r="X42" i="34"/>
  <c r="X33" i="34"/>
  <c r="X37" i="34"/>
  <c r="X41" i="34"/>
  <c r="X44" i="34"/>
  <c r="X43" i="34"/>
  <c r="X32" i="34"/>
  <c r="X35" i="34"/>
  <c r="X36" i="34"/>
  <c r="X40" i="34"/>
  <c r="X38" i="34"/>
  <c r="T52" i="6"/>
  <c r="T43" i="6"/>
  <c r="T44" i="6" s="1"/>
  <c r="U41" i="6" s="1"/>
  <c r="AA101" i="6"/>
  <c r="Q10" i="10" s="1"/>
  <c r="AB101" i="6"/>
  <c r="R10" i="10" s="1"/>
  <c r="Y6" i="34"/>
  <c r="R7" i="11"/>
  <c r="U6" i="25"/>
  <c r="U6" i="5"/>
  <c r="T8" i="9"/>
  <c r="T6" i="31"/>
  <c r="U6" i="36"/>
  <c r="AE8" i="30"/>
  <c r="S6" i="12"/>
  <c r="S39" i="12" s="1"/>
  <c r="S51" i="12" s="1"/>
  <c r="S62" i="12" s="1"/>
  <c r="T8" i="8"/>
  <c r="T6" i="10"/>
  <c r="AC51" i="6"/>
  <c r="AC94" i="6" s="1" a="1"/>
  <c r="AC94" i="6" s="1"/>
  <c r="V3" i="25"/>
  <c r="S4" i="11"/>
  <c r="U5" i="8"/>
  <c r="Z3" i="34"/>
  <c r="Z28" i="34" s="1"/>
  <c r="V3" i="36"/>
  <c r="V25" i="36" s="1"/>
  <c r="V38" i="36" s="1"/>
  <c r="V51" i="36" s="1"/>
  <c r="V64" i="36" s="1"/>
  <c r="T3" i="12"/>
  <c r="AF5" i="30"/>
  <c r="U3" i="10"/>
  <c r="U3" i="31"/>
  <c r="U5" i="9"/>
  <c r="V3" i="5"/>
  <c r="V25" i="5" s="1"/>
  <c r="V38" i="5" s="1"/>
  <c r="V51" i="5" s="1"/>
  <c r="V64" i="5" s="1"/>
  <c r="AE15" i="6"/>
  <c r="AF12" i="6"/>
  <c r="AE59" i="6"/>
  <c r="AE74" i="6"/>
  <c r="AC31" i="36"/>
  <c r="AB33" i="36"/>
  <c r="AC30" i="36"/>
  <c r="Y70" i="36"/>
  <c r="Z44" i="36"/>
  <c r="Z57" i="36" s="1"/>
  <c r="AA32" i="5"/>
  <c r="Z33" i="5"/>
  <c r="Z35" i="5" s="1"/>
  <c r="AC31" i="5"/>
  <c r="AG56" i="5"/>
  <c r="AN71" i="36"/>
  <c r="AO45" i="36"/>
  <c r="AO58" i="36" s="1"/>
  <c r="AO71" i="36" s="1"/>
  <c r="S89" i="6"/>
  <c r="T47" i="6"/>
  <c r="T48" i="6" s="1"/>
  <c r="T53" i="6" s="1"/>
  <c r="T55" i="6" s="1"/>
  <c r="T33" i="6"/>
  <c r="U30" i="6" s="1"/>
  <c r="U32" i="6" s="1"/>
  <c r="Z101" i="6"/>
  <c r="U22" i="6"/>
  <c r="O59" i="36"/>
  <c r="O69" i="36"/>
  <c r="O72" i="36" s="1"/>
  <c r="P43" i="36"/>
  <c r="P46" i="36" s="1"/>
  <c r="AC99" i="6" l="1" a="1"/>
  <c r="AC99" i="6" s="1"/>
  <c r="T79" i="6" a="1"/>
  <c r="T79" i="6" s="1"/>
  <c r="T85" i="6" a="1"/>
  <c r="T85" i="6" s="1"/>
  <c r="AE30" i="30"/>
  <c r="AE10" i="30"/>
  <c r="AE31" i="30"/>
  <c r="AE33" i="30"/>
  <c r="AE32" i="30"/>
  <c r="AE29" i="30"/>
  <c r="AE28" i="30"/>
  <c r="AE18" i="30"/>
  <c r="AE46" i="6" a="1"/>
  <c r="AE46" i="6" s="1"/>
  <c r="AE24" i="6" a="1"/>
  <c r="AE24" i="6" s="1"/>
  <c r="AE35" i="6" a="1"/>
  <c r="AE35" i="6" s="1"/>
  <c r="U7" i="8"/>
  <c r="U7" i="9"/>
  <c r="AF7" i="30"/>
  <c r="S6" i="11"/>
  <c r="U5" i="31"/>
  <c r="T5" i="12"/>
  <c r="V5" i="36"/>
  <c r="V5" i="25"/>
  <c r="V5" i="5"/>
  <c r="Z5" i="34"/>
  <c r="U5" i="10"/>
  <c r="AE72" i="6"/>
  <c r="Y36" i="34"/>
  <c r="Y39" i="34"/>
  <c r="Y40" i="34"/>
  <c r="Y33" i="34"/>
  <c r="Y37" i="34"/>
  <c r="Y34" i="34"/>
  <c r="Y44" i="34"/>
  <c r="Y43" i="34"/>
  <c r="Y32" i="34"/>
  <c r="Y38" i="34"/>
  <c r="Y41" i="34"/>
  <c r="Y42" i="34"/>
  <c r="Y35" i="34"/>
  <c r="V6" i="9"/>
  <c r="V4" i="31"/>
  <c r="U4" i="12"/>
  <c r="W4" i="36"/>
  <c r="V4" i="10"/>
  <c r="AA4" i="34"/>
  <c r="T5" i="11"/>
  <c r="AG6" i="30"/>
  <c r="W4" i="5"/>
  <c r="W4" i="25"/>
  <c r="V6" i="8"/>
  <c r="AF14" i="6"/>
  <c r="AG13" i="6"/>
  <c r="AE20" i="6"/>
  <c r="AE31" i="6"/>
  <c r="AE42" i="6"/>
  <c r="U43" i="6"/>
  <c r="U44" i="6" s="1"/>
  <c r="V41" i="6" s="1"/>
  <c r="U47" i="6"/>
  <c r="U48" i="6" s="1"/>
  <c r="AD51" i="6"/>
  <c r="AD94" i="6" s="1" a="1"/>
  <c r="AD94" i="6" s="1"/>
  <c r="T4" i="11"/>
  <c r="V5" i="8"/>
  <c r="V3" i="31"/>
  <c r="U3" i="12"/>
  <c r="W3" i="36"/>
  <c r="W25" i="36" s="1"/>
  <c r="W38" i="36" s="1"/>
  <c r="W51" i="36" s="1"/>
  <c r="W64" i="36" s="1"/>
  <c r="W3" i="5"/>
  <c r="W25" i="5" s="1"/>
  <c r="W38" i="5" s="1"/>
  <c r="W51" i="5" s="1"/>
  <c r="W64" i="5" s="1"/>
  <c r="AA3" i="34"/>
  <c r="AA28" i="34" s="1"/>
  <c r="W3" i="25"/>
  <c r="AG5" i="30"/>
  <c r="V3" i="10"/>
  <c r="V5" i="9"/>
  <c r="AF15" i="6"/>
  <c r="AF59" i="6"/>
  <c r="AF74" i="6"/>
  <c r="AG12" i="6"/>
  <c r="S7" i="11"/>
  <c r="U6" i="10"/>
  <c r="U8" i="8"/>
  <c r="V6" i="25"/>
  <c r="V6" i="5"/>
  <c r="U8" i="9"/>
  <c r="U6" i="31"/>
  <c r="Z6" i="34"/>
  <c r="V6" i="36"/>
  <c r="AF8" i="30"/>
  <c r="T6" i="12"/>
  <c r="T39" i="12" s="1"/>
  <c r="T51" i="12" s="1"/>
  <c r="T62" i="12" s="1"/>
  <c r="AC33" i="36"/>
  <c r="AD30" i="36"/>
  <c r="AD31" i="36"/>
  <c r="Z70" i="36"/>
  <c r="AA44" i="36"/>
  <c r="AA57" i="36" s="1"/>
  <c r="AB32" i="5"/>
  <c r="AA33" i="5"/>
  <c r="AA35" i="5" s="1"/>
  <c r="AD31" i="5"/>
  <c r="AH43" i="5"/>
  <c r="AG69" i="5"/>
  <c r="U36" i="6"/>
  <c r="U37" i="6" s="1"/>
  <c r="U52" i="6"/>
  <c r="I9" i="10"/>
  <c r="V19" i="6"/>
  <c r="V21" i="6" s="1"/>
  <c r="T89" i="6"/>
  <c r="P56" i="36"/>
  <c r="AD99" i="6" l="1" a="1"/>
  <c r="AD99" i="6" s="1"/>
  <c r="U79" i="6" a="1"/>
  <c r="U79" i="6" s="1"/>
  <c r="U85" i="6" a="1"/>
  <c r="U85" i="6" s="1"/>
  <c r="Z33" i="34"/>
  <c r="Z41" i="34"/>
  <c r="Z36" i="34"/>
  <c r="Z44" i="34"/>
  <c r="Z40" i="34"/>
  <c r="Z37" i="34"/>
  <c r="Z42" i="34"/>
  <c r="Z34" i="34"/>
  <c r="Z35" i="34"/>
  <c r="Z38" i="34"/>
  <c r="Z39" i="34"/>
  <c r="Z43" i="34"/>
  <c r="Z32" i="34"/>
  <c r="AF35" i="6" a="1"/>
  <c r="AF35" i="6" s="1"/>
  <c r="AF24" i="6" a="1"/>
  <c r="AF24" i="6" s="1"/>
  <c r="AF46" i="6" a="1"/>
  <c r="AF46" i="6" s="1"/>
  <c r="V5" i="31"/>
  <c r="W5" i="25"/>
  <c r="V7" i="9"/>
  <c r="U5" i="12"/>
  <c r="W5" i="36"/>
  <c r="AA5" i="34"/>
  <c r="AG7" i="30"/>
  <c r="T6" i="11"/>
  <c r="V5" i="10"/>
  <c r="V7" i="8"/>
  <c r="W5" i="5"/>
  <c r="AF72" i="6"/>
  <c r="AF42" i="6"/>
  <c r="AF20" i="6"/>
  <c r="AF31" i="6"/>
  <c r="U53" i="6"/>
  <c r="U55" i="6" s="1"/>
  <c r="AF10" i="30"/>
  <c r="AF30" i="30"/>
  <c r="AF31" i="30"/>
  <c r="AF33" i="30"/>
  <c r="AF32" i="30"/>
  <c r="AF29" i="30"/>
  <c r="AF28" i="30"/>
  <c r="AF18" i="30"/>
  <c r="X4" i="25"/>
  <c r="X4" i="5"/>
  <c r="W6" i="9"/>
  <c r="W6" i="8"/>
  <c r="W4" i="31"/>
  <c r="V4" i="12"/>
  <c r="X4" i="36"/>
  <c r="U5" i="11"/>
  <c r="W4" i="10"/>
  <c r="AB4" i="34"/>
  <c r="AH6" i="30"/>
  <c r="AG14" i="6"/>
  <c r="AH13" i="6"/>
  <c r="V47" i="6"/>
  <c r="V48" i="6" s="1"/>
  <c r="V43" i="6"/>
  <c r="V44" i="6" s="1"/>
  <c r="W41" i="6" s="1"/>
  <c r="AE51" i="6"/>
  <c r="AE94" i="6" s="1" a="1"/>
  <c r="AE94" i="6" s="1"/>
  <c r="AD101" i="6"/>
  <c r="T10" i="10" s="1"/>
  <c r="T7" i="11"/>
  <c r="V6" i="10"/>
  <c r="V8" i="8"/>
  <c r="V8" i="9"/>
  <c r="U6" i="12"/>
  <c r="U39" i="12" s="1"/>
  <c r="U51" i="12" s="1"/>
  <c r="U62" i="12" s="1"/>
  <c r="W6" i="36"/>
  <c r="W6" i="25"/>
  <c r="W6" i="5"/>
  <c r="V6" i="31"/>
  <c r="AA6" i="34"/>
  <c r="AG8" i="30"/>
  <c r="W3" i="31"/>
  <c r="V3" i="12"/>
  <c r="X3" i="36"/>
  <c r="X25" i="36" s="1"/>
  <c r="X38" i="36" s="1"/>
  <c r="X51" i="36" s="1"/>
  <c r="X64" i="36" s="1"/>
  <c r="W5" i="9"/>
  <c r="X3" i="5"/>
  <c r="X25" i="5" s="1"/>
  <c r="X38" i="5" s="1"/>
  <c r="X51" i="5" s="1"/>
  <c r="X64" i="5" s="1"/>
  <c r="W5" i="8"/>
  <c r="AB3" i="34"/>
  <c r="AB28" i="34" s="1"/>
  <c r="X3" i="25"/>
  <c r="AH5" i="30"/>
  <c r="W3" i="10"/>
  <c r="U4" i="11"/>
  <c r="AG15" i="6"/>
  <c r="AH12" i="6"/>
  <c r="AG59" i="6"/>
  <c r="AG74" i="6"/>
  <c r="AC101" i="6"/>
  <c r="S10" i="10" s="1"/>
  <c r="AE31" i="36"/>
  <c r="AE30" i="36"/>
  <c r="AD33" i="36"/>
  <c r="AA70" i="36"/>
  <c r="AB44" i="36"/>
  <c r="AB57" i="36" s="1"/>
  <c r="AC32" i="5"/>
  <c r="AB33" i="5"/>
  <c r="AB35" i="5" s="1"/>
  <c r="AE31" i="5"/>
  <c r="AH56" i="5"/>
  <c r="AI43" i="5" s="1"/>
  <c r="AI56" i="5" s="1"/>
  <c r="AH69" i="5"/>
  <c r="U33" i="6"/>
  <c r="V30" i="6" s="1"/>
  <c r="V32" i="6" s="1"/>
  <c r="V25" i="6"/>
  <c r="V26" i="6" s="1"/>
  <c r="J9" i="10"/>
  <c r="P59" i="36"/>
  <c r="P69" i="36"/>
  <c r="P72" i="36" s="1"/>
  <c r="Q43" i="36"/>
  <c r="Q46" i="36" s="1"/>
  <c r="Q14" i="5"/>
  <c r="P14" i="5"/>
  <c r="O14" i="5"/>
  <c r="N14" i="5"/>
  <c r="M14" i="5"/>
  <c r="K14" i="5"/>
  <c r="H36" i="11"/>
  <c r="I36" i="11"/>
  <c r="J36" i="11"/>
  <c r="K36" i="11"/>
  <c r="L36" i="11"/>
  <c r="M36" i="11"/>
  <c r="N36" i="11"/>
  <c r="H28" i="11"/>
  <c r="I28" i="11"/>
  <c r="J28" i="11"/>
  <c r="K28" i="11"/>
  <c r="L28" i="11"/>
  <c r="M28" i="11"/>
  <c r="N28" i="11"/>
  <c r="H26" i="11"/>
  <c r="I26" i="11"/>
  <c r="J26" i="11"/>
  <c r="K26" i="11"/>
  <c r="L26" i="11"/>
  <c r="M26" i="11"/>
  <c r="AE99" i="6" l="1" a="1"/>
  <c r="AE99" i="6" s="1"/>
  <c r="AE101" i="6" s="1"/>
  <c r="U10" i="10" s="1"/>
  <c r="AG42" i="6"/>
  <c r="AG20" i="6"/>
  <c r="AG31" i="6"/>
  <c r="AG33" i="30"/>
  <c r="AG31" i="30"/>
  <c r="AG32" i="30"/>
  <c r="AG28" i="30"/>
  <c r="AG30" i="30"/>
  <c r="AG10" i="30"/>
  <c r="AG29" i="30"/>
  <c r="AG18" i="30"/>
  <c r="AA38" i="34"/>
  <c r="AA33" i="34"/>
  <c r="AA41" i="34"/>
  <c r="AA32" i="34"/>
  <c r="AA36" i="34"/>
  <c r="AA44" i="34"/>
  <c r="AA40" i="34"/>
  <c r="AA39" i="34"/>
  <c r="AA42" i="34"/>
  <c r="AA37" i="34"/>
  <c r="AA43" i="34"/>
  <c r="AA35" i="34"/>
  <c r="AA34" i="34"/>
  <c r="V5" i="11"/>
  <c r="Y4" i="25"/>
  <c r="Y4" i="5"/>
  <c r="X6" i="9"/>
  <c r="X6" i="8"/>
  <c r="X4" i="10"/>
  <c r="AI6" i="30"/>
  <c r="W4" i="12"/>
  <c r="X4" i="31"/>
  <c r="Y4" i="36"/>
  <c r="AC4" i="34"/>
  <c r="AH14" i="6"/>
  <c r="AI13" i="6"/>
  <c r="AG35" i="6" a="1"/>
  <c r="AG35" i="6" s="1"/>
  <c r="AG24" i="6" a="1"/>
  <c r="AG24" i="6" s="1"/>
  <c r="AG46" i="6" a="1"/>
  <c r="AG46" i="6" s="1"/>
  <c r="W5" i="10"/>
  <c r="W5" i="31"/>
  <c r="X5" i="5"/>
  <c r="X5" i="25"/>
  <c r="W7" i="8"/>
  <c r="W7" i="9"/>
  <c r="V5" i="12"/>
  <c r="X5" i="36"/>
  <c r="AB5" i="34"/>
  <c r="AH7" i="30"/>
  <c r="U6" i="11"/>
  <c r="AG72" i="6"/>
  <c r="W47" i="6"/>
  <c r="W48" i="6" s="1"/>
  <c r="W43" i="6"/>
  <c r="W44" i="6" s="1"/>
  <c r="X41" i="6" s="1"/>
  <c r="AF51" i="6"/>
  <c r="AF99" i="6" s="1" a="1"/>
  <c r="AF99" i="6" s="1"/>
  <c r="X5" i="9"/>
  <c r="V4" i="11"/>
  <c r="Y3" i="36"/>
  <c r="Y25" i="36" s="1"/>
  <c r="Y38" i="36" s="1"/>
  <c r="Y51" i="36" s="1"/>
  <c r="Y64" i="36" s="1"/>
  <c r="Y3" i="5"/>
  <c r="Y25" i="5" s="1"/>
  <c r="Y38" i="5" s="1"/>
  <c r="Y51" i="5" s="1"/>
  <c r="Y64" i="5" s="1"/>
  <c r="W3" i="12"/>
  <c r="X5" i="8"/>
  <c r="AC3" i="34"/>
  <c r="AC28" i="34" s="1"/>
  <c r="X3" i="31"/>
  <c r="X3" i="10"/>
  <c r="AI5" i="30"/>
  <c r="AH15" i="6"/>
  <c r="Y3" i="25"/>
  <c r="AH59" i="6"/>
  <c r="AH74" i="6"/>
  <c r="AI12" i="6"/>
  <c r="W8" i="9"/>
  <c r="V6" i="12"/>
  <c r="V39" i="12" s="1"/>
  <c r="V51" i="12" s="1"/>
  <c r="V62" i="12" s="1"/>
  <c r="X6" i="36"/>
  <c r="AH8" i="30"/>
  <c r="U7" i="11"/>
  <c r="X6" i="25"/>
  <c r="X6" i="5"/>
  <c r="W6" i="31"/>
  <c r="W8" i="8"/>
  <c r="AB6" i="34"/>
  <c r="W6" i="10"/>
  <c r="AB70" i="36"/>
  <c r="AC44" i="36"/>
  <c r="AC57" i="36" s="1"/>
  <c r="AF30" i="36"/>
  <c r="AE33" i="36"/>
  <c r="AF31" i="36"/>
  <c r="AD32" i="5"/>
  <c r="AC33" i="5"/>
  <c r="AC35" i="5" s="1"/>
  <c r="AF31" i="5"/>
  <c r="AJ43" i="5"/>
  <c r="AI69" i="5"/>
  <c r="U89" i="6"/>
  <c r="K9" i="10" s="1"/>
  <c r="V22" i="6"/>
  <c r="W19" i="6" s="1"/>
  <c r="V36" i="6"/>
  <c r="V37" i="6" s="1"/>
  <c r="V53" i="6" s="1"/>
  <c r="V55" i="6" s="1"/>
  <c r="V52" i="6"/>
  <c r="Q56" i="36"/>
  <c r="L33" i="5"/>
  <c r="M33" i="5"/>
  <c r="K33" i="5"/>
  <c r="O33" i="5"/>
  <c r="P33" i="5"/>
  <c r="N33" i="5"/>
  <c r="Q33" i="5"/>
  <c r="Q35" i="5" s="1"/>
  <c r="J32" i="10"/>
  <c r="K32" i="10"/>
  <c r="L32" i="10"/>
  <c r="M32" i="10"/>
  <c r="N32" i="10"/>
  <c r="O32" i="10"/>
  <c r="P32" i="10"/>
  <c r="J20" i="10"/>
  <c r="K20" i="10"/>
  <c r="L20" i="10"/>
  <c r="M20" i="10"/>
  <c r="N20" i="10"/>
  <c r="O20" i="10"/>
  <c r="P20" i="10"/>
  <c r="J19" i="10"/>
  <c r="K19" i="10"/>
  <c r="L19" i="10"/>
  <c r="M19" i="10"/>
  <c r="N19" i="10"/>
  <c r="O19" i="10"/>
  <c r="P19" i="10"/>
  <c r="J18" i="31"/>
  <c r="K18" i="31"/>
  <c r="L18" i="31"/>
  <c r="M18" i="31"/>
  <c r="N18" i="31"/>
  <c r="O18" i="31"/>
  <c r="P18" i="31"/>
  <c r="J13" i="31"/>
  <c r="K13" i="31"/>
  <c r="L13" i="31"/>
  <c r="M13" i="31"/>
  <c r="N13" i="31"/>
  <c r="O13" i="31"/>
  <c r="P13" i="31"/>
  <c r="I29" i="12"/>
  <c r="J29" i="12"/>
  <c r="K29" i="12"/>
  <c r="L29" i="12"/>
  <c r="M29" i="12"/>
  <c r="N29" i="12"/>
  <c r="O29" i="12"/>
  <c r="I18" i="12"/>
  <c r="J18" i="12"/>
  <c r="K18" i="12"/>
  <c r="L18" i="12"/>
  <c r="M18" i="12"/>
  <c r="N18" i="12"/>
  <c r="O18" i="12"/>
  <c r="D36" i="11"/>
  <c r="E36" i="11"/>
  <c r="F36" i="11"/>
  <c r="G36" i="11"/>
  <c r="C36" i="11"/>
  <c r="V79" i="6" l="1" a="1"/>
  <c r="V79" i="6" s="1"/>
  <c r="V85" i="6" a="1"/>
  <c r="V85" i="6" s="1"/>
  <c r="AF94" i="6" a="1"/>
  <c r="AF94" i="6" s="1"/>
  <c r="AF101" i="6" s="1"/>
  <c r="V10" i="10" s="1"/>
  <c r="AH31" i="6"/>
  <c r="AH20" i="6"/>
  <c r="AH42" i="6"/>
  <c r="Y4" i="10"/>
  <c r="W5" i="11"/>
  <c r="Y6" i="9"/>
  <c r="Y4" i="31"/>
  <c r="X4" i="12"/>
  <c r="Z4" i="25"/>
  <c r="Z4" i="36"/>
  <c r="Y6" i="8"/>
  <c r="AD4" i="34"/>
  <c r="AJ6" i="30"/>
  <c r="Z4" i="5"/>
  <c r="AJ13" i="6"/>
  <c r="AI14" i="6"/>
  <c r="AH46" i="6" a="1"/>
  <c r="AH46" i="6" s="1"/>
  <c r="AH35" i="6" a="1"/>
  <c r="AH35" i="6" s="1"/>
  <c r="AH24" i="6" a="1"/>
  <c r="AH24" i="6" s="1"/>
  <c r="V6" i="11"/>
  <c r="X5" i="10"/>
  <c r="X5" i="31"/>
  <c r="Y5" i="5"/>
  <c r="X7" i="8"/>
  <c r="X7" i="9"/>
  <c r="AI7" i="30"/>
  <c r="W5" i="12"/>
  <c r="Y5" i="36"/>
  <c r="Y5" i="25"/>
  <c r="AC5" i="34"/>
  <c r="AH72" i="6"/>
  <c r="AH33" i="30"/>
  <c r="AH30" i="30"/>
  <c r="AH32" i="30"/>
  <c r="AH10" i="30"/>
  <c r="AH29" i="30"/>
  <c r="AH28" i="30"/>
  <c r="AH31" i="30"/>
  <c r="AH18" i="30"/>
  <c r="AB35" i="34"/>
  <c r="AB38" i="34"/>
  <c r="AB39" i="34"/>
  <c r="AB32" i="34"/>
  <c r="AB36" i="34"/>
  <c r="AB33" i="34"/>
  <c r="AB44" i="34"/>
  <c r="AB40" i="34"/>
  <c r="AB41" i="34"/>
  <c r="AB42" i="34"/>
  <c r="AB34" i="34"/>
  <c r="AB43" i="34"/>
  <c r="AB37" i="34"/>
  <c r="X47" i="6"/>
  <c r="X48" i="6" s="1"/>
  <c r="X43" i="6"/>
  <c r="X44" i="6" s="1"/>
  <c r="Y41" i="6" s="1"/>
  <c r="W25" i="6"/>
  <c r="W26" i="6" s="1"/>
  <c r="W21" i="6"/>
  <c r="W22" i="6" s="1"/>
  <c r="X19" i="6" s="1"/>
  <c r="AG51" i="6"/>
  <c r="AG94" i="6" s="1" a="1"/>
  <c r="AG94" i="6" s="1"/>
  <c r="X6" i="10"/>
  <c r="V7" i="11"/>
  <c r="X8" i="9"/>
  <c r="AI8" i="30"/>
  <c r="Y6" i="25"/>
  <c r="Y6" i="36"/>
  <c r="Y6" i="5"/>
  <c r="X6" i="31"/>
  <c r="W6" i="12"/>
  <c r="W39" i="12" s="1"/>
  <c r="W51" i="12" s="1"/>
  <c r="W62" i="12" s="1"/>
  <c r="X8" i="8"/>
  <c r="AC6" i="34"/>
  <c r="AD3" i="34"/>
  <c r="AD28" i="34" s="1"/>
  <c r="W4" i="11"/>
  <c r="AI15" i="6"/>
  <c r="Z3" i="36"/>
  <c r="Z25" i="36" s="1"/>
  <c r="Z38" i="36" s="1"/>
  <c r="Z51" i="36" s="1"/>
  <c r="Z64" i="36" s="1"/>
  <c r="Z3" i="5"/>
  <c r="Z25" i="5" s="1"/>
  <c r="Z38" i="5" s="1"/>
  <c r="Z51" i="5" s="1"/>
  <c r="Z64" i="5" s="1"/>
  <c r="X3" i="12"/>
  <c r="Y5" i="8"/>
  <c r="Y3" i="31"/>
  <c r="Z3" i="25"/>
  <c r="AJ5" i="30"/>
  <c r="Y5" i="9"/>
  <c r="Y3" i="10"/>
  <c r="AI59" i="6"/>
  <c r="AI74" i="6"/>
  <c r="AJ12" i="6"/>
  <c r="AC70" i="36"/>
  <c r="AD44" i="36"/>
  <c r="AD57" i="36" s="1"/>
  <c r="R43" i="36"/>
  <c r="R46" i="36" s="1"/>
  <c r="AG30" i="36"/>
  <c r="AF33" i="36"/>
  <c r="AG31" i="36"/>
  <c r="AE32" i="5"/>
  <c r="AD33" i="5"/>
  <c r="AD35" i="5" s="1"/>
  <c r="AG31" i="5"/>
  <c r="AJ56" i="5"/>
  <c r="V33" i="6"/>
  <c r="W30" i="6" s="1"/>
  <c r="W32" i="6" s="1"/>
  <c r="V89" i="6"/>
  <c r="L9" i="10" s="1"/>
  <c r="Q59" i="36"/>
  <c r="Q69" i="36"/>
  <c r="Q72" i="36" s="1"/>
  <c r="I18" i="31"/>
  <c r="H18" i="31"/>
  <c r="G18" i="31"/>
  <c r="E18" i="31"/>
  <c r="I13" i="31"/>
  <c r="G13" i="31"/>
  <c r="F13" i="31"/>
  <c r="C24" i="31"/>
  <c r="C28" i="31" s="1"/>
  <c r="E18" i="22" s="1"/>
  <c r="AG99" i="6" l="1" a="1"/>
  <c r="AG99" i="6" s="1"/>
  <c r="AG101" i="6" s="1"/>
  <c r="W10" i="10" s="1"/>
  <c r="AI35" i="6" a="1"/>
  <c r="AI35" i="6" s="1"/>
  <c r="AI46" i="6" a="1"/>
  <c r="AI46" i="6" s="1"/>
  <c r="AI24" i="6" a="1"/>
  <c r="AI24" i="6" s="1"/>
  <c r="W6" i="11"/>
  <c r="Y5" i="10"/>
  <c r="Y5" i="31"/>
  <c r="Z5" i="25"/>
  <c r="Y7" i="9"/>
  <c r="X5" i="12"/>
  <c r="Z5" i="5"/>
  <c r="AD5" i="34"/>
  <c r="Z5" i="36"/>
  <c r="AJ7" i="30"/>
  <c r="Y7" i="8"/>
  <c r="AI72" i="6"/>
  <c r="AJ14" i="6"/>
  <c r="Z4" i="31"/>
  <c r="Z4" i="10"/>
  <c r="X5" i="11"/>
  <c r="AA4" i="25"/>
  <c r="AA4" i="5"/>
  <c r="Z6" i="9"/>
  <c r="AA4" i="36"/>
  <c r="Z6" i="8"/>
  <c r="AE4" i="34"/>
  <c r="AK6" i="30"/>
  <c r="AK13" i="6"/>
  <c r="Y4" i="12"/>
  <c r="AC32" i="34"/>
  <c r="AC40" i="34"/>
  <c r="AC35" i="34"/>
  <c r="AC42" i="34"/>
  <c r="AC43" i="34"/>
  <c r="AC39" i="34"/>
  <c r="AC36" i="34"/>
  <c r="AC37" i="34"/>
  <c r="AC38" i="34"/>
  <c r="AC41" i="34"/>
  <c r="AC44" i="34"/>
  <c r="AC34" i="34"/>
  <c r="AC33" i="34"/>
  <c r="AI31" i="6"/>
  <c r="AI42" i="6"/>
  <c r="AI20" i="6"/>
  <c r="AI30" i="30"/>
  <c r="AI29" i="30"/>
  <c r="AI10" i="30"/>
  <c r="AI31" i="30"/>
  <c r="AI33" i="30"/>
  <c r="AI28" i="30"/>
  <c r="AI32" i="30"/>
  <c r="AI18" i="30"/>
  <c r="Y47" i="6"/>
  <c r="Y48" i="6" s="1"/>
  <c r="Y43" i="6"/>
  <c r="Y44" i="6" s="1"/>
  <c r="Z41" i="6" s="1"/>
  <c r="X21" i="6"/>
  <c r="X22" i="6" s="1"/>
  <c r="Y19" i="6" s="1"/>
  <c r="AH51" i="6"/>
  <c r="AH99" i="6" s="1" a="1"/>
  <c r="AH99" i="6" s="1"/>
  <c r="AA3" i="5"/>
  <c r="AA25" i="5" s="1"/>
  <c r="AA38" i="5" s="1"/>
  <c r="AA51" i="5" s="1"/>
  <c r="AA64" i="5" s="1"/>
  <c r="Z5" i="9"/>
  <c r="Z3" i="10"/>
  <c r="AJ15" i="6"/>
  <c r="X4" i="11"/>
  <c r="AA3" i="36"/>
  <c r="AA25" i="36" s="1"/>
  <c r="AA38" i="36" s="1"/>
  <c r="AA51" i="36" s="1"/>
  <c r="AA64" i="36" s="1"/>
  <c r="AE3" i="34"/>
  <c r="AE28" i="34" s="1"/>
  <c r="Z5" i="8"/>
  <c r="AK5" i="30"/>
  <c r="Y3" i="12"/>
  <c r="AA3" i="25"/>
  <c r="AK12" i="6"/>
  <c r="Z3" i="31"/>
  <c r="AJ74" i="6"/>
  <c r="AJ59" i="6"/>
  <c r="Z6" i="25"/>
  <c r="Y6" i="10"/>
  <c r="W7" i="11"/>
  <c r="Y8" i="9"/>
  <c r="AJ8" i="30"/>
  <c r="Y6" i="31"/>
  <c r="X6" i="12"/>
  <c r="X39" i="12" s="1"/>
  <c r="X51" i="12" s="1"/>
  <c r="X62" i="12" s="1"/>
  <c r="Y8" i="8"/>
  <c r="AD6" i="34"/>
  <c r="Z6" i="5"/>
  <c r="Z6" i="36"/>
  <c r="AD70" i="36"/>
  <c r="AE44" i="36"/>
  <c r="AE57" i="36" s="1"/>
  <c r="AH30" i="36"/>
  <c r="AG33" i="36"/>
  <c r="R56" i="36"/>
  <c r="AH31" i="36"/>
  <c r="AF32" i="5"/>
  <c r="AE33" i="5"/>
  <c r="AE35" i="5" s="1"/>
  <c r="AH31" i="5"/>
  <c r="AJ69" i="5"/>
  <c r="AK43" i="5"/>
  <c r="X25" i="6"/>
  <c r="X26" i="6" s="1"/>
  <c r="W36" i="6"/>
  <c r="W37" i="6" s="1"/>
  <c r="W53" i="6" s="1"/>
  <c r="W55" i="6" s="1"/>
  <c r="W33" i="6"/>
  <c r="W52" i="6"/>
  <c r="H18" i="12"/>
  <c r="G18" i="12"/>
  <c r="F18" i="12"/>
  <c r="E18" i="12"/>
  <c r="C34" i="12"/>
  <c r="W79" i="6" l="1" a="1"/>
  <c r="W79" i="6" s="1"/>
  <c r="W85" i="6" a="1"/>
  <c r="W85" i="6" s="1"/>
  <c r="AH94" i="6" a="1"/>
  <c r="AH94" i="6" s="1"/>
  <c r="AJ31" i="6"/>
  <c r="AJ42" i="6"/>
  <c r="AJ20" i="6"/>
  <c r="AJ24" i="6" a="1"/>
  <c r="AJ24" i="6" s="1"/>
  <c r="AJ46" i="6" a="1"/>
  <c r="AJ46" i="6" s="1"/>
  <c r="AJ35" i="6" a="1"/>
  <c r="AJ35" i="6" s="1"/>
  <c r="Z7" i="9"/>
  <c r="X6" i="11"/>
  <c r="Z5" i="10"/>
  <c r="Z5" i="31"/>
  <c r="AA5" i="5"/>
  <c r="AA5" i="25"/>
  <c r="Z7" i="8"/>
  <c r="AE5" i="34"/>
  <c r="Y5" i="12"/>
  <c r="AA5" i="36"/>
  <c r="AK7" i="30"/>
  <c r="AJ72" i="6"/>
  <c r="AJ30" i="30"/>
  <c r="AJ33" i="30"/>
  <c r="AJ10" i="30"/>
  <c r="AJ32" i="30"/>
  <c r="AJ31" i="30"/>
  <c r="AJ28" i="30"/>
  <c r="AJ29" i="30"/>
  <c r="AJ18" i="30"/>
  <c r="AD37" i="34"/>
  <c r="AD32" i="34"/>
  <c r="AD40" i="34"/>
  <c r="AD35" i="34"/>
  <c r="AD43" i="34"/>
  <c r="AD42" i="34"/>
  <c r="AD39" i="34"/>
  <c r="AD34" i="34"/>
  <c r="AD38" i="34"/>
  <c r="AD41" i="34"/>
  <c r="AD33" i="34"/>
  <c r="AD36" i="34"/>
  <c r="AD44" i="34"/>
  <c r="AA4" i="31"/>
  <c r="Z4" i="12"/>
  <c r="AB4" i="36"/>
  <c r="AA4" i="10"/>
  <c r="AF4" i="34"/>
  <c r="Y5" i="11"/>
  <c r="AL6" i="30"/>
  <c r="AB4" i="25"/>
  <c r="AB4" i="5"/>
  <c r="AL13" i="6"/>
  <c r="AK14" i="6"/>
  <c r="AA6" i="8"/>
  <c r="AA6" i="9"/>
  <c r="Z47" i="6"/>
  <c r="Z48" i="6" s="1"/>
  <c r="Z43" i="6"/>
  <c r="C43" i="6" s="1"/>
  <c r="C44" i="6" s="1"/>
  <c r="D41" i="6" s="1"/>
  <c r="Y21" i="6"/>
  <c r="Y22" i="6" s="1"/>
  <c r="Z19" i="6" s="1"/>
  <c r="Z21" i="6" s="1"/>
  <c r="C21" i="6" s="1"/>
  <c r="C22" i="6" s="1"/>
  <c r="Y25" i="6"/>
  <c r="Y26" i="6" s="1"/>
  <c r="AL12" i="6"/>
  <c r="AB3" i="5"/>
  <c r="AB25" i="5" s="1"/>
  <c r="AB38" i="5" s="1"/>
  <c r="AB51" i="5" s="1"/>
  <c r="AB64" i="5" s="1"/>
  <c r="AA3" i="10"/>
  <c r="AA3" i="31"/>
  <c r="AB3" i="25"/>
  <c r="AL5" i="30"/>
  <c r="AA5" i="9"/>
  <c r="AK74" i="6"/>
  <c r="Y4" i="11"/>
  <c r="Z3" i="12"/>
  <c r="AA5" i="8"/>
  <c r="AF3" i="34"/>
  <c r="AF28" i="34" s="1"/>
  <c r="AB3" i="36"/>
  <c r="AB25" i="36" s="1"/>
  <c r="AB38" i="36" s="1"/>
  <c r="AB51" i="36" s="1"/>
  <c r="AB64" i="36" s="1"/>
  <c r="AK15" i="6"/>
  <c r="AK59" i="6"/>
  <c r="AA6" i="25"/>
  <c r="Z6" i="31"/>
  <c r="AA6" i="5"/>
  <c r="Z6" i="10"/>
  <c r="X7" i="11"/>
  <c r="Z8" i="9"/>
  <c r="AA6" i="36"/>
  <c r="AE6" i="34"/>
  <c r="Y6" i="12"/>
  <c r="Y39" i="12" s="1"/>
  <c r="Y51" i="12" s="1"/>
  <c r="Y62" i="12" s="1"/>
  <c r="Z8" i="8"/>
  <c r="AK8" i="30"/>
  <c r="AI51" i="6"/>
  <c r="AI94" i="6" s="1" a="1"/>
  <c r="AI94" i="6" s="1"/>
  <c r="AH33" i="36"/>
  <c r="AI30" i="36"/>
  <c r="R59" i="36"/>
  <c r="R69" i="36"/>
  <c r="R72" i="36" s="1"/>
  <c r="S43" i="36"/>
  <c r="AI31" i="36"/>
  <c r="AE70" i="36"/>
  <c r="AF44" i="36"/>
  <c r="AF57" i="36" s="1"/>
  <c r="AG32" i="5"/>
  <c r="AF33" i="5"/>
  <c r="AF35" i="5" s="1"/>
  <c r="AI31" i="5"/>
  <c r="AK56" i="5"/>
  <c r="X30" i="6"/>
  <c r="X32" i="6" s="1"/>
  <c r="C37" i="12"/>
  <c r="E16" i="22" s="1"/>
  <c r="AI99" i="6" l="1" a="1"/>
  <c r="AI99" i="6" s="1"/>
  <c r="AE34" i="34"/>
  <c r="AE42" i="34"/>
  <c r="AE37" i="34"/>
  <c r="AE38" i="34"/>
  <c r="AE35" i="34"/>
  <c r="AE32" i="34"/>
  <c r="AE43" i="34"/>
  <c r="AE36" i="34"/>
  <c r="AE39" i="34"/>
  <c r="AE40" i="34"/>
  <c r="AE41" i="34"/>
  <c r="AE33" i="34"/>
  <c r="AE44" i="34"/>
  <c r="AK42" i="6"/>
  <c r="AK20" i="6"/>
  <c r="AK31" i="6"/>
  <c r="AK35" i="6" a="1"/>
  <c r="AK35" i="6" s="1"/>
  <c r="AK24" i="6" a="1"/>
  <c r="AK24" i="6" s="1"/>
  <c r="AK46" i="6" a="1"/>
  <c r="AK46" i="6" s="1"/>
  <c r="AA7" i="9"/>
  <c r="Z5" i="12"/>
  <c r="AB5" i="36"/>
  <c r="Y6" i="11"/>
  <c r="AA5" i="10"/>
  <c r="AA5" i="31"/>
  <c r="AB5" i="5"/>
  <c r="AA7" i="8"/>
  <c r="AF5" i="34"/>
  <c r="AL7" i="30"/>
  <c r="AB5" i="25"/>
  <c r="AK72" i="6"/>
  <c r="AB4" i="31"/>
  <c r="AA4" i="12"/>
  <c r="AC4" i="36"/>
  <c r="AB4" i="10"/>
  <c r="Z5" i="11"/>
  <c r="AB6" i="9"/>
  <c r="H36" i="2" s="1"/>
  <c r="AM13" i="6"/>
  <c r="AC4" i="25"/>
  <c r="AL14" i="6"/>
  <c r="AG4" i="34"/>
  <c r="AB6" i="8"/>
  <c r="AC4" i="5"/>
  <c r="AM6" i="30"/>
  <c r="AK32" i="30"/>
  <c r="AK31" i="30"/>
  <c r="AK10" i="30"/>
  <c r="AK33" i="30"/>
  <c r="AK30" i="30"/>
  <c r="AK28" i="30"/>
  <c r="AK29" i="30"/>
  <c r="AK18" i="30"/>
  <c r="Z44" i="6"/>
  <c r="AA41" i="6" s="1"/>
  <c r="AA43" i="6" s="1"/>
  <c r="AA44" i="6" s="1"/>
  <c r="AB41" i="6" s="1"/>
  <c r="AB43" i="6" s="1"/>
  <c r="AH101" i="6"/>
  <c r="X10" i="10" s="1"/>
  <c r="AA6" i="31"/>
  <c r="AB6" i="5"/>
  <c r="Z6" i="12"/>
  <c r="Z39" i="12" s="1"/>
  <c r="Z51" i="12" s="1"/>
  <c r="Z62" i="12" s="1"/>
  <c r="AA8" i="8"/>
  <c r="AF6" i="34"/>
  <c r="AA6" i="10"/>
  <c r="Y7" i="11"/>
  <c r="AA8" i="9"/>
  <c r="AL8" i="30"/>
  <c r="AB6" i="25"/>
  <c r="AB6" i="36"/>
  <c r="AJ51" i="6"/>
  <c r="AJ99" i="6" s="1" a="1"/>
  <c r="AJ99" i="6" s="1"/>
  <c r="AB3" i="10"/>
  <c r="AC3" i="25"/>
  <c r="AB3" i="31"/>
  <c r="AB5" i="9"/>
  <c r="AM5" i="30"/>
  <c r="Z4" i="11"/>
  <c r="AC3" i="5"/>
  <c r="AC25" i="5" s="1"/>
  <c r="AC38" i="5" s="1"/>
  <c r="AC51" i="5" s="1"/>
  <c r="AC64" i="5" s="1"/>
  <c r="AC3" i="36"/>
  <c r="AC25" i="36" s="1"/>
  <c r="AC38" i="36" s="1"/>
  <c r="AC51" i="36" s="1"/>
  <c r="AC64" i="36" s="1"/>
  <c r="AG3" i="34"/>
  <c r="AG28" i="34" s="1"/>
  <c r="AB5" i="8"/>
  <c r="AL15" i="6"/>
  <c r="AA3" i="12"/>
  <c r="AM12" i="6"/>
  <c r="AL74" i="6"/>
  <c r="AL59" i="6"/>
  <c r="AJ31" i="36"/>
  <c r="AF70" i="36"/>
  <c r="AG44" i="36"/>
  <c r="AG57" i="36" s="1"/>
  <c r="S56" i="36"/>
  <c r="S46" i="36"/>
  <c r="AJ30" i="36"/>
  <c r="AI33" i="36"/>
  <c r="AH32" i="5"/>
  <c r="AG33" i="5"/>
  <c r="AG35" i="5" s="1"/>
  <c r="AJ31" i="5"/>
  <c r="AK69" i="5"/>
  <c r="AL43" i="5"/>
  <c r="W89" i="6"/>
  <c r="M9" i="10" s="1"/>
  <c r="X36" i="6"/>
  <c r="X37" i="6" s="1"/>
  <c r="X53" i="6" s="1"/>
  <c r="X55" i="6" s="1"/>
  <c r="X52" i="6"/>
  <c r="Z25" i="6"/>
  <c r="Z26" i="6" s="1"/>
  <c r="E29" i="9"/>
  <c r="E30" i="9" s="1"/>
  <c r="F32" i="10"/>
  <c r="G32" i="10"/>
  <c r="H32" i="10"/>
  <c r="I32" i="10"/>
  <c r="F29" i="12"/>
  <c r="G29" i="12"/>
  <c r="H29" i="12"/>
  <c r="D43" i="6" l="1"/>
  <c r="D44" i="6" s="1"/>
  <c r="E41" i="6" s="1"/>
  <c r="AA47" i="6"/>
  <c r="AA48" i="6" s="1"/>
  <c r="X79" i="6" a="1"/>
  <c r="X79" i="6" s="1"/>
  <c r="X85" i="6" a="1"/>
  <c r="X85" i="6" s="1"/>
  <c r="AJ94" i="6" a="1"/>
  <c r="AJ94" i="6" s="1"/>
  <c r="AK51" i="6"/>
  <c r="AK99" i="6" s="1" a="1"/>
  <c r="AK99" i="6" s="1"/>
  <c r="AL24" i="6" a="1"/>
  <c r="AL24" i="6" s="1"/>
  <c r="AL35" i="6" a="1"/>
  <c r="AL35" i="6" s="1"/>
  <c r="AL46" i="6" a="1"/>
  <c r="AL46" i="6" s="1"/>
  <c r="AB7" i="9"/>
  <c r="AA5" i="12"/>
  <c r="AC5" i="36"/>
  <c r="Z6" i="11"/>
  <c r="AB5" i="10"/>
  <c r="AC5" i="25"/>
  <c r="AB5" i="31"/>
  <c r="AC5" i="5"/>
  <c r="AB7" i="8"/>
  <c r="AG5" i="34"/>
  <c r="AM7" i="30"/>
  <c r="AL72" i="6"/>
  <c r="AC6" i="9"/>
  <c r="AC6" i="8"/>
  <c r="AC4" i="31"/>
  <c r="AC4" i="10"/>
  <c r="AH4" i="34"/>
  <c r="AA5" i="11"/>
  <c r="AD4" i="25"/>
  <c r="AN6" i="30"/>
  <c r="AM14" i="6"/>
  <c r="AN13" i="6"/>
  <c r="AD4" i="36"/>
  <c r="AB4" i="12"/>
  <c r="AD4" i="5"/>
  <c r="AL33" i="30"/>
  <c r="AL28" i="30"/>
  <c r="AL31" i="30"/>
  <c r="AL30" i="30"/>
  <c r="AL29" i="30"/>
  <c r="AL32" i="30"/>
  <c r="AL10" i="30"/>
  <c r="AL18" i="30"/>
  <c r="AF39" i="34"/>
  <c r="AF34" i="34"/>
  <c r="AF42" i="34"/>
  <c r="AF41" i="34"/>
  <c r="AF38" i="34"/>
  <c r="AF35" i="34"/>
  <c r="AF33" i="34"/>
  <c r="AF36" i="34"/>
  <c r="AF37" i="34"/>
  <c r="AF40" i="34"/>
  <c r="AF44" i="34"/>
  <c r="AF43" i="34"/>
  <c r="AF32" i="34"/>
  <c r="AL42" i="6"/>
  <c r="AL20" i="6"/>
  <c r="AL31" i="6"/>
  <c r="AI101" i="6"/>
  <c r="Y10" i="10" s="1"/>
  <c r="AG6" i="34"/>
  <c r="AC6" i="36"/>
  <c r="AM8" i="30"/>
  <c r="AA6" i="12"/>
  <c r="AA39" i="12" s="1"/>
  <c r="AA51" i="12" s="1"/>
  <c r="AA62" i="12" s="1"/>
  <c r="AB8" i="8"/>
  <c r="AB6" i="10"/>
  <c r="Z7" i="11"/>
  <c r="AC6" i="25"/>
  <c r="AC6" i="5"/>
  <c r="AB6" i="31"/>
  <c r="AB8" i="9"/>
  <c r="AD3" i="25"/>
  <c r="AA4" i="11"/>
  <c r="AC5" i="8"/>
  <c r="AB3" i="12"/>
  <c r="AC3" i="10"/>
  <c r="AC3" i="31"/>
  <c r="AC5" i="9"/>
  <c r="AN5" i="30"/>
  <c r="AN12" i="6"/>
  <c r="AM74" i="6"/>
  <c r="AM59" i="6"/>
  <c r="AD3" i="5"/>
  <c r="AD25" i="5" s="1"/>
  <c r="AD38" i="5" s="1"/>
  <c r="AD51" i="5" s="1"/>
  <c r="AD64" i="5" s="1"/>
  <c r="AH3" i="34"/>
  <c r="AH28" i="34" s="1"/>
  <c r="AD3" i="36"/>
  <c r="AD25" i="36" s="1"/>
  <c r="AD38" i="36" s="1"/>
  <c r="AD51" i="36" s="1"/>
  <c r="AD64" i="36" s="1"/>
  <c r="AM15" i="6"/>
  <c r="S59" i="36"/>
  <c r="S69" i="36"/>
  <c r="S72" i="36" s="1"/>
  <c r="T43" i="36"/>
  <c r="T46" i="36" s="1"/>
  <c r="AG70" i="36"/>
  <c r="AH44" i="36"/>
  <c r="AH57" i="36" s="1"/>
  <c r="AJ33" i="36"/>
  <c r="AK30" i="36"/>
  <c r="AK31" i="36"/>
  <c r="AI32" i="5"/>
  <c r="AH33" i="5"/>
  <c r="AH35" i="5" s="1"/>
  <c r="AK31" i="5"/>
  <c r="AL56" i="5"/>
  <c r="AB47" i="6"/>
  <c r="AB48" i="6" s="1"/>
  <c r="X33" i="6"/>
  <c r="Y30" i="6" s="1"/>
  <c r="Y32" i="6" s="1"/>
  <c r="AB44" i="6"/>
  <c r="AC41" i="6" s="1"/>
  <c r="E43" i="6"/>
  <c r="E44" i="6" s="1"/>
  <c r="F41" i="6" s="1"/>
  <c r="D19" i="6"/>
  <c r="Z22" i="6"/>
  <c r="AA19" i="6" s="1"/>
  <c r="AA21" i="6" s="1"/>
  <c r="E41" i="12"/>
  <c r="E46" i="12" s="1"/>
  <c r="D48" i="12"/>
  <c r="C27" i="11" s="1"/>
  <c r="L19" i="30"/>
  <c r="AK94" i="6" l="1" a="1"/>
  <c r="AK94" i="6" s="1"/>
  <c r="AM46" i="6" a="1"/>
  <c r="AM46" i="6" s="1"/>
  <c r="AM35" i="6" a="1"/>
  <c r="AM35" i="6" s="1"/>
  <c r="AM24" i="6" a="1"/>
  <c r="AM24" i="6" s="1"/>
  <c r="AC7" i="8"/>
  <c r="AC7" i="9"/>
  <c r="AN7" i="30"/>
  <c r="AA6" i="11"/>
  <c r="AC5" i="31"/>
  <c r="AC5" i="10"/>
  <c r="AD5" i="25"/>
  <c r="AD5" i="5"/>
  <c r="AM72" i="6"/>
  <c r="AH5" i="34"/>
  <c r="AB5" i="12"/>
  <c r="AD5" i="36"/>
  <c r="AM10" i="30"/>
  <c r="AM29" i="30"/>
  <c r="AM33" i="30"/>
  <c r="AM32" i="30"/>
  <c r="AM28" i="30"/>
  <c r="AM30" i="30"/>
  <c r="AM31" i="30"/>
  <c r="AM18" i="30"/>
  <c r="AG36" i="34"/>
  <c r="AG39" i="34"/>
  <c r="AG34" i="34"/>
  <c r="AG41" i="34"/>
  <c r="AG38" i="34"/>
  <c r="AG42" i="34"/>
  <c r="AG35" i="34"/>
  <c r="AG43" i="34"/>
  <c r="AG33" i="34"/>
  <c r="AG37" i="34"/>
  <c r="AG40" i="34"/>
  <c r="AG32" i="34"/>
  <c r="AG44" i="34"/>
  <c r="AM20" i="6"/>
  <c r="AM31" i="6"/>
  <c r="AM42" i="6"/>
  <c r="AD6" i="9"/>
  <c r="AD4" i="31"/>
  <c r="AC4" i="12"/>
  <c r="AE4" i="36"/>
  <c r="AD4" i="10"/>
  <c r="AI4" i="34"/>
  <c r="AB5" i="11"/>
  <c r="AN14" i="6"/>
  <c r="AO6" i="30"/>
  <c r="AE4" i="25"/>
  <c r="AO13" i="6"/>
  <c r="AD6" i="8"/>
  <c r="AE4" i="5"/>
  <c r="AC47" i="6"/>
  <c r="AC48" i="6" s="1"/>
  <c r="AC43" i="6"/>
  <c r="AC44" i="6" s="1"/>
  <c r="AD41" i="6" s="1"/>
  <c r="AC19" i="30"/>
  <c r="AJ19" i="30"/>
  <c r="AH19" i="30"/>
  <c r="AD19" i="30"/>
  <c r="AK19" i="30"/>
  <c r="AE19" i="30"/>
  <c r="AB19" i="30"/>
  <c r="AL19" i="30"/>
  <c r="AM19" i="30"/>
  <c r="AF19" i="30"/>
  <c r="AI19" i="30"/>
  <c r="AG19" i="30"/>
  <c r="AK101" i="6"/>
  <c r="AA10" i="10" s="1"/>
  <c r="AB4" i="11"/>
  <c r="AD5" i="8"/>
  <c r="AD3" i="31"/>
  <c r="AC3" i="12"/>
  <c r="AE3" i="36"/>
  <c r="AE25" i="36" s="1"/>
  <c r="AE38" i="36" s="1"/>
  <c r="AE51" i="36" s="1"/>
  <c r="AE64" i="36" s="1"/>
  <c r="AI3" i="34"/>
  <c r="AI28" i="34" s="1"/>
  <c r="AE3" i="25"/>
  <c r="AD3" i="10"/>
  <c r="AD5" i="9"/>
  <c r="AO5" i="30"/>
  <c r="AE3" i="5"/>
  <c r="AE25" i="5" s="1"/>
  <c r="AE38" i="5" s="1"/>
  <c r="AE51" i="5" s="1"/>
  <c r="AE64" i="5" s="1"/>
  <c r="AN15" i="6"/>
  <c r="AO12" i="6"/>
  <c r="AN74" i="6"/>
  <c r="AN59" i="6"/>
  <c r="AL51" i="6"/>
  <c r="AL99" i="6" s="1" a="1"/>
  <c r="AL99" i="6" s="1"/>
  <c r="AJ101" i="6"/>
  <c r="Z10" i="10" s="1"/>
  <c r="AA7" i="11"/>
  <c r="AC6" i="10"/>
  <c r="AC8" i="8"/>
  <c r="AC8" i="9"/>
  <c r="AC6" i="31"/>
  <c r="AD6" i="36"/>
  <c r="AH6" i="34"/>
  <c r="AN8" i="30"/>
  <c r="AB6" i="12"/>
  <c r="AB39" i="12" s="1"/>
  <c r="AB51" i="12" s="1"/>
  <c r="AB62" i="12" s="1"/>
  <c r="AD6" i="25"/>
  <c r="AD6" i="5"/>
  <c r="AH70" i="36"/>
  <c r="AI44" i="36"/>
  <c r="AI57" i="36" s="1"/>
  <c r="AK33" i="36"/>
  <c r="AL30" i="36"/>
  <c r="AL31" i="36"/>
  <c r="T56" i="36"/>
  <c r="Y36" i="6"/>
  <c r="Y37" i="6" s="1"/>
  <c r="Y53" i="6" s="1"/>
  <c r="Y55" i="6" s="1"/>
  <c r="AJ32" i="5"/>
  <c r="AI33" i="5"/>
  <c r="AI35" i="5" s="1"/>
  <c r="AL31" i="5"/>
  <c r="AL69" i="5"/>
  <c r="AM43" i="5"/>
  <c r="Y52" i="6"/>
  <c r="Y33" i="6"/>
  <c r="X89" i="6"/>
  <c r="N9" i="10" s="1"/>
  <c r="F43" i="6"/>
  <c r="F44" i="6" s="1"/>
  <c r="AA25" i="6"/>
  <c r="AA26" i="6" s="1"/>
  <c r="F29" i="9"/>
  <c r="F41" i="12"/>
  <c r="F46" i="12" s="1"/>
  <c r="E48" i="12"/>
  <c r="Y79" i="6" l="1" a="1"/>
  <c r="Y79" i="6" s="1"/>
  <c r="Y85" i="6" a="1"/>
  <c r="Y85" i="6" s="1"/>
  <c r="AL94" i="6" a="1"/>
  <c r="AL94" i="6" s="1"/>
  <c r="AN42" i="6"/>
  <c r="AN20" i="6"/>
  <c r="AN31" i="6"/>
  <c r="AN35" i="6" a="1"/>
  <c r="AN35" i="6" s="1"/>
  <c r="AN24" i="6" a="1"/>
  <c r="AN24" i="6" s="1"/>
  <c r="AN46" i="6" a="1"/>
  <c r="AN46" i="6" s="1"/>
  <c r="AD5" i="31"/>
  <c r="AE5" i="25"/>
  <c r="AD7" i="9"/>
  <c r="AC5" i="12"/>
  <c r="AE5" i="36"/>
  <c r="AI5" i="34"/>
  <c r="AO7" i="30"/>
  <c r="AD5" i="10"/>
  <c r="AB6" i="11"/>
  <c r="AN72" i="6"/>
  <c r="AE5" i="5"/>
  <c r="AD7" i="8"/>
  <c r="AN29" i="30"/>
  <c r="AN18" i="30"/>
  <c r="AN30" i="30"/>
  <c r="AN28" i="30"/>
  <c r="AN31" i="30"/>
  <c r="AN33" i="30"/>
  <c r="AN10" i="30"/>
  <c r="AN32" i="30"/>
  <c r="AH33" i="34"/>
  <c r="AH41" i="34"/>
  <c r="AH36" i="34"/>
  <c r="AH37" i="34"/>
  <c r="AH44" i="34"/>
  <c r="AH34" i="34"/>
  <c r="AH32" i="34"/>
  <c r="AH35" i="34"/>
  <c r="AH43" i="34"/>
  <c r="AH38" i="34"/>
  <c r="AH39" i="34"/>
  <c r="AH42" i="34"/>
  <c r="AH40" i="34"/>
  <c r="AP13" i="6"/>
  <c r="AF4" i="25"/>
  <c r="AF4" i="5"/>
  <c r="AE6" i="9"/>
  <c r="AE6" i="8"/>
  <c r="AE4" i="31"/>
  <c r="AD4" i="12"/>
  <c r="AF4" i="36"/>
  <c r="AC5" i="11"/>
  <c r="AP6" i="30"/>
  <c r="AJ4" i="34"/>
  <c r="AE4" i="10"/>
  <c r="AO14" i="6"/>
  <c r="AD47" i="6"/>
  <c r="AD48" i="6" s="1"/>
  <c r="AD43" i="6"/>
  <c r="AD44" i="6" s="1"/>
  <c r="AE41" i="6" s="1"/>
  <c r="AO59" i="6"/>
  <c r="AE3" i="31"/>
  <c r="AD3" i="12"/>
  <c r="AF3" i="36"/>
  <c r="AF25" i="36" s="1"/>
  <c r="AF38" i="36" s="1"/>
  <c r="AF51" i="36" s="1"/>
  <c r="AF64" i="36" s="1"/>
  <c r="AE5" i="9"/>
  <c r="AP5" i="30"/>
  <c r="AE5" i="8"/>
  <c r="AP12" i="6"/>
  <c r="AJ3" i="34"/>
  <c r="AJ28" i="34" s="1"/>
  <c r="AF3" i="25"/>
  <c r="AE3" i="10"/>
  <c r="AC4" i="11"/>
  <c r="AO15" i="6"/>
  <c r="AF3" i="5"/>
  <c r="AF25" i="5" s="1"/>
  <c r="AF38" i="5" s="1"/>
  <c r="AF51" i="5" s="1"/>
  <c r="AF64" i="5" s="1"/>
  <c r="AO74" i="6"/>
  <c r="AB7" i="11"/>
  <c r="AD6" i="10"/>
  <c r="AD8" i="8"/>
  <c r="AD8" i="9"/>
  <c r="AC6" i="12"/>
  <c r="AC39" i="12" s="1"/>
  <c r="AC51" i="12" s="1"/>
  <c r="AC62" i="12" s="1"/>
  <c r="AE6" i="36"/>
  <c r="AE6" i="25"/>
  <c r="AE6" i="5"/>
  <c r="AD6" i="31"/>
  <c r="AI6" i="34"/>
  <c r="AO8" i="30"/>
  <c r="AM51" i="6"/>
  <c r="AM99" i="6" s="1" a="1"/>
  <c r="AM99" i="6" s="1"/>
  <c r="AL33" i="36"/>
  <c r="AM30" i="36"/>
  <c r="AM31" i="36"/>
  <c r="T59" i="36"/>
  <c r="T69" i="36"/>
  <c r="T72" i="36" s="1"/>
  <c r="U43" i="36"/>
  <c r="U46" i="36" s="1"/>
  <c r="AI70" i="36"/>
  <c r="AJ44" i="36"/>
  <c r="AJ57" i="36" s="1"/>
  <c r="Z30" i="6"/>
  <c r="AK32" i="5"/>
  <c r="AJ33" i="5"/>
  <c r="AJ35" i="5" s="1"/>
  <c r="AM31" i="5"/>
  <c r="AM56" i="5"/>
  <c r="AA22" i="6"/>
  <c r="AB19" i="6" s="1"/>
  <c r="D21" i="6"/>
  <c r="D22" i="6" s="1"/>
  <c r="E19" i="6" s="1"/>
  <c r="G29" i="9"/>
  <c r="G41" i="12"/>
  <c r="G46" i="12" s="1"/>
  <c r="F48" i="12"/>
  <c r="AM94" i="6" l="1" a="1"/>
  <c r="AM94" i="6" s="1"/>
  <c r="AD5" i="11"/>
  <c r="AG4" i="25"/>
  <c r="AG4" i="5"/>
  <c r="AF6" i="9"/>
  <c r="AF6" i="8"/>
  <c r="AF4" i="10"/>
  <c r="AQ6" i="30"/>
  <c r="AG4" i="36"/>
  <c r="AK4" i="34"/>
  <c r="AE4" i="12"/>
  <c r="AF4" i="31"/>
  <c r="AQ13" i="6"/>
  <c r="AP14" i="6"/>
  <c r="AO28" i="30"/>
  <c r="AO18" i="30"/>
  <c r="AO33" i="30"/>
  <c r="AO31" i="30"/>
  <c r="AO32" i="30"/>
  <c r="AO30" i="30"/>
  <c r="AO29" i="30"/>
  <c r="AO10" i="30"/>
  <c r="AO24" i="6" a="1"/>
  <c r="AO24" i="6" s="1"/>
  <c r="AO35" i="6" a="1"/>
  <c r="AO35" i="6" s="1"/>
  <c r="AO46" i="6" a="1"/>
  <c r="AO46" i="6" s="1"/>
  <c r="AE5" i="10"/>
  <c r="AE5" i="31"/>
  <c r="AF5" i="5"/>
  <c r="AF5" i="25"/>
  <c r="AE7" i="8"/>
  <c r="AE7" i="9"/>
  <c r="AD5" i="12"/>
  <c r="AF5" i="36"/>
  <c r="AJ5" i="34"/>
  <c r="AC6" i="11"/>
  <c r="AP7" i="30"/>
  <c r="AO72" i="6"/>
  <c r="AI38" i="34"/>
  <c r="AI33" i="34"/>
  <c r="AI41" i="34"/>
  <c r="AI40" i="34"/>
  <c r="AI37" i="34"/>
  <c r="AI44" i="34"/>
  <c r="AI34" i="34"/>
  <c r="AI43" i="34"/>
  <c r="AI32" i="34"/>
  <c r="AI35" i="34"/>
  <c r="AI36" i="34"/>
  <c r="AI39" i="34"/>
  <c r="AI42" i="34"/>
  <c r="AO42" i="6"/>
  <c r="AO31" i="6"/>
  <c r="AO20" i="6"/>
  <c r="AE47" i="6"/>
  <c r="AE48" i="6" s="1"/>
  <c r="AE43" i="6"/>
  <c r="AE44" i="6" s="1"/>
  <c r="AF41" i="6" s="1"/>
  <c r="Z32" i="6"/>
  <c r="Z33" i="6" s="1"/>
  <c r="AA30" i="6" s="1"/>
  <c r="Z52" i="6"/>
  <c r="AB25" i="6"/>
  <c r="AB26" i="6" s="1"/>
  <c r="AB21" i="6"/>
  <c r="Z36" i="6"/>
  <c r="Z37" i="6" s="1"/>
  <c r="Z53" i="6" s="1"/>
  <c r="Z55" i="6" s="1"/>
  <c r="AL101" i="6"/>
  <c r="AB10" i="10" s="1"/>
  <c r="AP59" i="6"/>
  <c r="AF5" i="9"/>
  <c r="AG3" i="36"/>
  <c r="AG25" i="36" s="1"/>
  <c r="AG38" i="36" s="1"/>
  <c r="AG51" i="36" s="1"/>
  <c r="AG64" i="36" s="1"/>
  <c r="AG3" i="5"/>
  <c r="AG25" i="5" s="1"/>
  <c r="AG38" i="5" s="1"/>
  <c r="AG51" i="5" s="1"/>
  <c r="AG64" i="5" s="1"/>
  <c r="AE3" i="12"/>
  <c r="AF5" i="8"/>
  <c r="AP15" i="6"/>
  <c r="AK3" i="34"/>
  <c r="AK28" i="34" s="1"/>
  <c r="AF3" i="31"/>
  <c r="AG3" i="25"/>
  <c r="AF3" i="10"/>
  <c r="AD4" i="11"/>
  <c r="AQ5" i="30"/>
  <c r="AP74" i="6"/>
  <c r="AQ12" i="6"/>
  <c r="AN51" i="6"/>
  <c r="AN94" i="6" s="1" a="1"/>
  <c r="AN94" i="6" s="1"/>
  <c r="AE8" i="9"/>
  <c r="AD6" i="12"/>
  <c r="AD39" i="12" s="1"/>
  <c r="AD51" i="12" s="1"/>
  <c r="AD62" i="12" s="1"/>
  <c r="AF6" i="36"/>
  <c r="AF6" i="25"/>
  <c r="AF6" i="5"/>
  <c r="AE6" i="31"/>
  <c r="AE8" i="8"/>
  <c r="AJ6" i="34"/>
  <c r="AP8" i="30"/>
  <c r="AE6" i="10"/>
  <c r="AC7" i="11"/>
  <c r="U56" i="36"/>
  <c r="AJ70" i="36"/>
  <c r="AK44" i="36"/>
  <c r="AK57" i="36" s="1"/>
  <c r="U59" i="36"/>
  <c r="U69" i="36"/>
  <c r="U72" i="36" s="1"/>
  <c r="V43" i="36"/>
  <c r="V46" i="36" s="1"/>
  <c r="AN31" i="36"/>
  <c r="AM33" i="36"/>
  <c r="AN30" i="36"/>
  <c r="Y89" i="6"/>
  <c r="O9" i="10" s="1"/>
  <c r="AL32" i="5"/>
  <c r="AK33" i="5"/>
  <c r="AK35" i="5" s="1"/>
  <c r="AN31" i="5"/>
  <c r="AM69" i="5"/>
  <c r="AN43" i="5"/>
  <c r="E21" i="6"/>
  <c r="E22" i="6" s="1"/>
  <c r="F19" i="6" s="1"/>
  <c r="H29" i="9"/>
  <c r="H41" i="12"/>
  <c r="H46" i="12" s="1"/>
  <c r="I41" i="12" s="1"/>
  <c r="I46" i="12" s="1"/>
  <c r="G48" i="12"/>
  <c r="Z85" i="6" l="1" a="1"/>
  <c r="Z85" i="6" s="1"/>
  <c r="Z79" i="6" a="1"/>
  <c r="Z79" i="6" s="1"/>
  <c r="AN99" i="6" a="1"/>
  <c r="AN99" i="6" s="1"/>
  <c r="C32" i="6"/>
  <c r="C33" i="6" s="1"/>
  <c r="D30" i="6" s="1"/>
  <c r="AP24" i="6" a="1"/>
  <c r="AP24" i="6" s="1"/>
  <c r="AP35" i="6" a="1"/>
  <c r="AP35" i="6" s="1"/>
  <c r="AP46" i="6" a="1"/>
  <c r="AP46" i="6" s="1"/>
  <c r="AD6" i="11"/>
  <c r="AF5" i="10"/>
  <c r="AF5" i="31"/>
  <c r="AG5" i="5"/>
  <c r="AF7" i="8"/>
  <c r="AF7" i="9"/>
  <c r="AG5" i="25"/>
  <c r="AK5" i="34"/>
  <c r="AE5" i="12"/>
  <c r="AQ7" i="30"/>
  <c r="AG5" i="36"/>
  <c r="AP72" i="6"/>
  <c r="AP42" i="6"/>
  <c r="AP31" i="6"/>
  <c r="AP20" i="6"/>
  <c r="AG4" i="10"/>
  <c r="AE5" i="11"/>
  <c r="AG6" i="9"/>
  <c r="AG4" i="31"/>
  <c r="AF4" i="12"/>
  <c r="AH4" i="5"/>
  <c r="AR6" i="30"/>
  <c r="AH4" i="25"/>
  <c r="AH4" i="36"/>
  <c r="AG6" i="8"/>
  <c r="AL4" i="34"/>
  <c r="AQ14" i="6"/>
  <c r="AR13" i="6"/>
  <c r="AP30" i="30"/>
  <c r="AP29" i="30"/>
  <c r="AP32" i="30"/>
  <c r="AP33" i="30"/>
  <c r="AP28" i="30"/>
  <c r="AP31" i="30"/>
  <c r="AP10" i="30"/>
  <c r="AP18" i="30"/>
  <c r="AJ35" i="34"/>
  <c r="AJ38" i="34"/>
  <c r="AJ33" i="34"/>
  <c r="AJ40" i="34"/>
  <c r="AJ37" i="34"/>
  <c r="AJ41" i="34"/>
  <c r="AJ44" i="34"/>
  <c r="AJ34" i="34"/>
  <c r="AJ32" i="34"/>
  <c r="AJ36" i="34"/>
  <c r="AJ43" i="34"/>
  <c r="AJ42" i="34"/>
  <c r="AJ39" i="34"/>
  <c r="AF47" i="6"/>
  <c r="AF48" i="6" s="1"/>
  <c r="AF43" i="6"/>
  <c r="AF44" i="6" s="1"/>
  <c r="AG41" i="6" s="1"/>
  <c r="Z89" i="6"/>
  <c r="Z103" i="6" s="1"/>
  <c r="AA52" i="6"/>
  <c r="AA32" i="6"/>
  <c r="D32" i="6" s="1"/>
  <c r="AA36" i="6"/>
  <c r="AA37" i="6" s="1"/>
  <c r="AA53" i="6" s="1"/>
  <c r="AA55" i="6" s="1"/>
  <c r="AQ8" i="30"/>
  <c r="AD7" i="11"/>
  <c r="AF8" i="9"/>
  <c r="AG6" i="25"/>
  <c r="AG6" i="36"/>
  <c r="AG6" i="5"/>
  <c r="AF6" i="31"/>
  <c r="AE6" i="12"/>
  <c r="AE39" i="12" s="1"/>
  <c r="AE51" i="12" s="1"/>
  <c r="AE62" i="12" s="1"/>
  <c r="AF8" i="8"/>
  <c r="AK6" i="34"/>
  <c r="AF6" i="10"/>
  <c r="AL3" i="34"/>
  <c r="AL28" i="34" s="1"/>
  <c r="AH3" i="36"/>
  <c r="AH25" i="36" s="1"/>
  <c r="AH38" i="36" s="1"/>
  <c r="AH51" i="36" s="1"/>
  <c r="AH64" i="36" s="1"/>
  <c r="AH3" i="5"/>
  <c r="AH25" i="5" s="1"/>
  <c r="AH38" i="5" s="1"/>
  <c r="AH51" i="5" s="1"/>
  <c r="AH64" i="5" s="1"/>
  <c r="AF3" i="12"/>
  <c r="AG5" i="8"/>
  <c r="AR5" i="30"/>
  <c r="AG3" i="31"/>
  <c r="AH3" i="25"/>
  <c r="AG5" i="9"/>
  <c r="AG3" i="10"/>
  <c r="AE4" i="11"/>
  <c r="AR12" i="6"/>
  <c r="AQ74" i="6"/>
  <c r="AQ15" i="6"/>
  <c r="AQ59" i="6"/>
  <c r="AO51" i="6"/>
  <c r="AO94" i="6" s="1" a="1"/>
  <c r="AO94" i="6" s="1"/>
  <c r="AM101" i="6"/>
  <c r="AC10" i="10" s="1"/>
  <c r="V56" i="36"/>
  <c r="AO30" i="36"/>
  <c r="AN33" i="36"/>
  <c r="AK70" i="36"/>
  <c r="AL44" i="36"/>
  <c r="AL57" i="36" s="1"/>
  <c r="AO31" i="36"/>
  <c r="AM32" i="5"/>
  <c r="AL33" i="5"/>
  <c r="AL35" i="5" s="1"/>
  <c r="AO31" i="5"/>
  <c r="AN56" i="5"/>
  <c r="AN69" i="5" s="1"/>
  <c r="AB22" i="6"/>
  <c r="AC19" i="6" s="1"/>
  <c r="AC21" i="6" s="1"/>
  <c r="F21" i="6"/>
  <c r="F22" i="6" s="1"/>
  <c r="J29" i="9"/>
  <c r="I48" i="12"/>
  <c r="J41" i="12"/>
  <c r="J46" i="12" s="1"/>
  <c r="H48" i="12"/>
  <c r="I29" i="9"/>
  <c r="M20" i="30"/>
  <c r="M19" i="30"/>
  <c r="L20" i="30"/>
  <c r="L17" i="30"/>
  <c r="K17" i="30"/>
  <c r="D33" i="6" l="1"/>
  <c r="E30" i="6" s="1"/>
  <c r="AO99" i="6" a="1"/>
  <c r="AO99" i="6" s="1"/>
  <c r="AA85" i="6" a="1"/>
  <c r="AA85" i="6" s="1"/>
  <c r="AA79" i="6" a="1"/>
  <c r="AA79" i="6" s="1"/>
  <c r="AA33" i="6"/>
  <c r="AB30" i="6" s="1"/>
  <c r="AQ31" i="30"/>
  <c r="AQ30" i="30"/>
  <c r="AQ28" i="30"/>
  <c r="AQ29" i="30"/>
  <c r="AQ10" i="30"/>
  <c r="AQ32" i="30"/>
  <c r="AQ33" i="30"/>
  <c r="AQ18" i="30"/>
  <c r="AQ46" i="6" a="1"/>
  <c r="AQ46" i="6" s="1"/>
  <c r="AQ24" i="6" a="1"/>
  <c r="AQ24" i="6" s="1"/>
  <c r="AQ35" i="6" a="1"/>
  <c r="AQ35" i="6" s="1"/>
  <c r="AE6" i="11"/>
  <c r="AG5" i="10"/>
  <c r="AG5" i="31"/>
  <c r="AH5" i="25"/>
  <c r="AG7" i="9"/>
  <c r="AF5" i="12"/>
  <c r="AH5" i="36"/>
  <c r="AH5" i="5"/>
  <c r="AG7" i="8"/>
  <c r="AR7" i="30"/>
  <c r="AR19" i="30" s="1"/>
  <c r="AL5" i="34"/>
  <c r="AQ72" i="6"/>
  <c r="AK32" i="34"/>
  <c r="AK40" i="34"/>
  <c r="AK35" i="34"/>
  <c r="AK36" i="34"/>
  <c r="AK43" i="34"/>
  <c r="AK33" i="34"/>
  <c r="AK44" i="34"/>
  <c r="AK41" i="34"/>
  <c r="AK34" i="34"/>
  <c r="AK37" i="34"/>
  <c r="AK38" i="34"/>
  <c r="AK39" i="34"/>
  <c r="AK42" i="34"/>
  <c r="AQ31" i="6"/>
  <c r="AQ20" i="6"/>
  <c r="AQ42" i="6"/>
  <c r="AH4" i="31"/>
  <c r="AH4" i="10"/>
  <c r="AF5" i="11"/>
  <c r="AI4" i="5"/>
  <c r="AH6" i="9"/>
  <c r="AI4" i="25"/>
  <c r="AS6" i="30"/>
  <c r="AI4" i="36"/>
  <c r="AG4" i="12"/>
  <c r="AH6" i="8"/>
  <c r="AM4" i="34"/>
  <c r="AR14" i="6"/>
  <c r="AS13" i="6"/>
  <c r="AG47" i="6"/>
  <c r="AG48" i="6" s="1"/>
  <c r="AG43" i="6"/>
  <c r="AG44" i="6" s="1"/>
  <c r="AH41" i="6" s="1"/>
  <c r="AF20" i="30"/>
  <c r="AJ20" i="30"/>
  <c r="AL20" i="30"/>
  <c r="AG20" i="30"/>
  <c r="AI20" i="30"/>
  <c r="AH20" i="30"/>
  <c r="AE20" i="30"/>
  <c r="AC20" i="30"/>
  <c r="AM20" i="30"/>
  <c r="AK20" i="30"/>
  <c r="AB20" i="30"/>
  <c r="AD20" i="30"/>
  <c r="AO19" i="30"/>
  <c r="AP19" i="30"/>
  <c r="AN19" i="30"/>
  <c r="AQ19" i="30"/>
  <c r="AN20" i="30"/>
  <c r="AQ20" i="30"/>
  <c r="AP20" i="30"/>
  <c r="AO20" i="30"/>
  <c r="AP51" i="6"/>
  <c r="AP99" i="6" s="1" a="1"/>
  <c r="AP99" i="6" s="1"/>
  <c r="AN101" i="6"/>
  <c r="AD10" i="10" s="1"/>
  <c r="AI3" i="5"/>
  <c r="AI25" i="5" s="1"/>
  <c r="AI38" i="5" s="1"/>
  <c r="AI51" i="5" s="1"/>
  <c r="AI64" i="5" s="1"/>
  <c r="AF4" i="11"/>
  <c r="AI3" i="25"/>
  <c r="AI3" i="36"/>
  <c r="AI25" i="36" s="1"/>
  <c r="AI38" i="36" s="1"/>
  <c r="AI51" i="36" s="1"/>
  <c r="AI64" i="36" s="1"/>
  <c r="AG3" i="12"/>
  <c r="AH5" i="8"/>
  <c r="AM3" i="34"/>
  <c r="AM28" i="34" s="1"/>
  <c r="AS5" i="30"/>
  <c r="AH3" i="31"/>
  <c r="AH5" i="9"/>
  <c r="AH3" i="10"/>
  <c r="AR15" i="6"/>
  <c r="AR74" i="6"/>
  <c r="AS12" i="6"/>
  <c r="AR59" i="6"/>
  <c r="AH6" i="25"/>
  <c r="AE7" i="11"/>
  <c r="AG8" i="9"/>
  <c r="AH6" i="36"/>
  <c r="AH6" i="5"/>
  <c r="AG6" i="31"/>
  <c r="AF6" i="12"/>
  <c r="AF39" i="12" s="1"/>
  <c r="AF51" i="12" s="1"/>
  <c r="AF62" i="12" s="1"/>
  <c r="AG8" i="8"/>
  <c r="AR8" i="30"/>
  <c r="AL6" i="34"/>
  <c r="AG6" i="10"/>
  <c r="AO33" i="36"/>
  <c r="AL70" i="36"/>
  <c r="AM44" i="36"/>
  <c r="AM57" i="36" s="1"/>
  <c r="V59" i="36"/>
  <c r="V69" i="36"/>
  <c r="V72" i="36" s="1"/>
  <c r="W43" i="36"/>
  <c r="W46" i="36" s="1"/>
  <c r="AN32" i="5"/>
  <c r="AM33" i="5"/>
  <c r="AM35" i="5" s="1"/>
  <c r="AO43" i="5"/>
  <c r="P9" i="10"/>
  <c r="AC25" i="6"/>
  <c r="AC26" i="6" s="1"/>
  <c r="AC22" i="6"/>
  <c r="AD19" i="6" s="1"/>
  <c r="E32" i="6"/>
  <c r="E33" i="6" s="1"/>
  <c r="F30" i="6" s="1"/>
  <c r="K41" i="12"/>
  <c r="K46" i="12" s="1"/>
  <c r="K29" i="9"/>
  <c r="J48" i="12"/>
  <c r="K16" i="30"/>
  <c r="AB32" i="6" l="1"/>
  <c r="AB33" i="6" s="1"/>
  <c r="AC30" i="6" s="1"/>
  <c r="AB52" i="6"/>
  <c r="AB36" i="6"/>
  <c r="AB37" i="6" s="1"/>
  <c r="AB53" i="6" s="1"/>
  <c r="AB55" i="6" s="1"/>
  <c r="AP94" i="6" a="1"/>
  <c r="AP94" i="6" s="1"/>
  <c r="AL37" i="34"/>
  <c r="AL32" i="34"/>
  <c r="AL40" i="34"/>
  <c r="AL39" i="34"/>
  <c r="AL36" i="34"/>
  <c r="AL43" i="34"/>
  <c r="AL33" i="34"/>
  <c r="AL44" i="34"/>
  <c r="AL38" i="34"/>
  <c r="AL34" i="34"/>
  <c r="AL35" i="34"/>
  <c r="AL42" i="34"/>
  <c r="AL41" i="34"/>
  <c r="AR18" i="30"/>
  <c r="AR10" i="30"/>
  <c r="AR29" i="30"/>
  <c r="AR30" i="30"/>
  <c r="AR33" i="30"/>
  <c r="AR31" i="30"/>
  <c r="AR28" i="30"/>
  <c r="AR32" i="30"/>
  <c r="AI4" i="31"/>
  <c r="AH4" i="12"/>
  <c r="AJ4" i="36"/>
  <c r="AG5" i="11"/>
  <c r="AI4" i="10"/>
  <c r="AJ4" i="5"/>
  <c r="AJ4" i="25"/>
  <c r="AT6" i="30"/>
  <c r="AI6" i="9"/>
  <c r="AI6" i="8"/>
  <c r="AN4" i="34"/>
  <c r="AT13" i="6"/>
  <c r="AS14" i="6"/>
  <c r="AR31" i="6"/>
  <c r="AR42" i="6"/>
  <c r="AR20" i="6"/>
  <c r="AR20" i="30"/>
  <c r="AR46" i="6" a="1"/>
  <c r="AR46" i="6" s="1"/>
  <c r="AR35" i="6" a="1"/>
  <c r="AR35" i="6" s="1"/>
  <c r="AR24" i="6" a="1"/>
  <c r="AR24" i="6" s="1"/>
  <c r="AH7" i="9"/>
  <c r="AF6" i="11"/>
  <c r="AH5" i="10"/>
  <c r="AH5" i="31"/>
  <c r="AI5" i="5"/>
  <c r="AI5" i="36"/>
  <c r="AI5" i="25"/>
  <c r="AH7" i="8"/>
  <c r="AS7" i="30"/>
  <c r="AG5" i="12"/>
  <c r="AM5" i="34"/>
  <c r="AR72" i="6"/>
  <c r="AH43" i="6"/>
  <c r="AH44" i="6" s="1"/>
  <c r="AI41" i="6" s="1"/>
  <c r="AA89" i="6"/>
  <c r="AA103" i="6" s="1"/>
  <c r="AD21" i="6"/>
  <c r="AD22" i="6" s="1"/>
  <c r="AE19" i="6" s="1"/>
  <c r="AE25" i="6" s="1"/>
  <c r="AE26" i="6" s="1"/>
  <c r="AJ3" i="5"/>
  <c r="AJ25" i="5" s="1"/>
  <c r="AJ38" i="5" s="1"/>
  <c r="AJ51" i="5" s="1"/>
  <c r="AJ64" i="5" s="1"/>
  <c r="AG4" i="11"/>
  <c r="AJ3" i="25"/>
  <c r="AJ3" i="36"/>
  <c r="AJ25" i="36" s="1"/>
  <c r="AJ38" i="36" s="1"/>
  <c r="AJ51" i="36" s="1"/>
  <c r="AJ64" i="36" s="1"/>
  <c r="AH3" i="12"/>
  <c r="AI5" i="8"/>
  <c r="AN3" i="34"/>
  <c r="AN28" i="34" s="1"/>
  <c r="AI3" i="10"/>
  <c r="AI3" i="31"/>
  <c r="AI5" i="9"/>
  <c r="AT5" i="30"/>
  <c r="AS74" i="6"/>
  <c r="AS59" i="6"/>
  <c r="AS15" i="6"/>
  <c r="AT12" i="6"/>
  <c r="AQ51" i="6"/>
  <c r="AQ94" i="6" s="1" a="1"/>
  <c r="AQ94" i="6" s="1"/>
  <c r="AH6" i="31"/>
  <c r="AI6" i="25"/>
  <c r="AI6" i="5"/>
  <c r="AH6" i="10"/>
  <c r="AF7" i="11"/>
  <c r="AH8" i="9"/>
  <c r="AI6" i="36"/>
  <c r="AM6" i="34"/>
  <c r="AG6" i="12"/>
  <c r="AG39" i="12" s="1"/>
  <c r="AG51" i="12" s="1"/>
  <c r="AG62" i="12" s="1"/>
  <c r="AS8" i="30"/>
  <c r="AH8" i="8"/>
  <c r="AO101" i="6"/>
  <c r="AE10" i="10" s="1"/>
  <c r="W56" i="36"/>
  <c r="W59" i="36"/>
  <c r="W69" i="36"/>
  <c r="W72" i="36" s="1"/>
  <c r="X43" i="36"/>
  <c r="X46" i="36" s="1"/>
  <c r="AM70" i="36"/>
  <c r="AN44" i="36"/>
  <c r="AN57" i="36" s="1"/>
  <c r="AO32" i="5"/>
  <c r="AN33" i="5"/>
  <c r="AN35" i="5" s="1"/>
  <c r="AO56" i="5"/>
  <c r="AH47" i="6"/>
  <c r="AH48" i="6" s="1"/>
  <c r="AD25" i="6"/>
  <c r="AD26" i="6" s="1"/>
  <c r="F32" i="6"/>
  <c r="F33" i="6" s="1"/>
  <c r="L41" i="12"/>
  <c r="L46" i="12" s="1"/>
  <c r="L29" i="9"/>
  <c r="K48" i="12"/>
  <c r="I17" i="30"/>
  <c r="F17" i="30"/>
  <c r="H16" i="30"/>
  <c r="I16" i="30" s="1"/>
  <c r="F16" i="30"/>
  <c r="AR51" i="6" l="1"/>
  <c r="AQ99" i="6" a="1"/>
  <c r="AQ99" i="6" s="1"/>
  <c r="AC32" i="6"/>
  <c r="AC33" i="6"/>
  <c r="AD30" i="6" s="1"/>
  <c r="AC36" i="6"/>
  <c r="AC37" i="6" s="1"/>
  <c r="AC53" i="6" s="1"/>
  <c r="AC55" i="6" s="1"/>
  <c r="AC52" i="6"/>
  <c r="AR99" i="6" a="1"/>
  <c r="AR99" i="6" s="1"/>
  <c r="AR94" i="6" a="1"/>
  <c r="AR94" i="6" s="1"/>
  <c r="AB79" i="6" a="1"/>
  <c r="AB79" i="6" s="1"/>
  <c r="AB85" i="6" a="1"/>
  <c r="AB85" i="6" s="1"/>
  <c r="AM34" i="34"/>
  <c r="AM42" i="34"/>
  <c r="AM37" i="34"/>
  <c r="AM32" i="34"/>
  <c r="AM39" i="34"/>
  <c r="AM36" i="34"/>
  <c r="AM40" i="34"/>
  <c r="AM43" i="34"/>
  <c r="AM44" i="34"/>
  <c r="AM33" i="34"/>
  <c r="AM41" i="34"/>
  <c r="AM38" i="34"/>
  <c r="AM35" i="34"/>
  <c r="AS31" i="6"/>
  <c r="AS42" i="6"/>
  <c r="AS20" i="6"/>
  <c r="AP101" i="6"/>
  <c r="AF10" i="10" s="1"/>
  <c r="AS28" i="30"/>
  <c r="AS33" i="30"/>
  <c r="AS30" i="30"/>
  <c r="AS32" i="30"/>
  <c r="AS31" i="30"/>
  <c r="AS10" i="30"/>
  <c r="AS29" i="30"/>
  <c r="AS18" i="30"/>
  <c r="AS20" i="30"/>
  <c r="AS19" i="30"/>
  <c r="AS46" i="6" a="1"/>
  <c r="AS46" i="6" s="1"/>
  <c r="AS35" i="6" a="1"/>
  <c r="AS35" i="6" s="1"/>
  <c r="AS24" i="6" a="1"/>
  <c r="AS24" i="6" s="1"/>
  <c r="AI5" i="10"/>
  <c r="AI7" i="9"/>
  <c r="AH5" i="12"/>
  <c r="AJ5" i="36"/>
  <c r="AG6" i="11"/>
  <c r="AT7" i="30"/>
  <c r="AI5" i="31"/>
  <c r="AJ5" i="5"/>
  <c r="AJ5" i="25"/>
  <c r="AN5" i="34"/>
  <c r="AI7" i="8"/>
  <c r="AS72" i="6"/>
  <c r="AK4" i="25"/>
  <c r="AJ6" i="9"/>
  <c r="AJ4" i="31"/>
  <c r="AI4" i="12"/>
  <c r="AK4" i="36"/>
  <c r="AH5" i="11"/>
  <c r="AJ4" i="10"/>
  <c r="AJ6" i="8"/>
  <c r="AO4" i="34"/>
  <c r="AK4" i="5"/>
  <c r="AU6" i="30"/>
  <c r="AU13" i="6"/>
  <c r="AT14" i="6"/>
  <c r="Q9" i="10"/>
  <c r="Q11" i="10" s="1"/>
  <c r="AI43" i="6"/>
  <c r="AI44" i="6" s="1"/>
  <c r="AJ41" i="6" s="1"/>
  <c r="AI47" i="6"/>
  <c r="AI48" i="6" s="1"/>
  <c r="Q19" i="8"/>
  <c r="Q18" i="8"/>
  <c r="AE21" i="6"/>
  <c r="AE22" i="6" s="1"/>
  <c r="AF19" i="6" s="1"/>
  <c r="AP17" i="30"/>
  <c r="AS17" i="30"/>
  <c r="AA17" i="30"/>
  <c r="AE17" i="30"/>
  <c r="AJ17" i="30"/>
  <c r="AI17" i="30"/>
  <c r="V17" i="30"/>
  <c r="AM17" i="30"/>
  <c r="AB17" i="30"/>
  <c r="AL17" i="30"/>
  <c r="AN17" i="30"/>
  <c r="AO17" i="30"/>
  <c r="AG17" i="30"/>
  <c r="AD17" i="30"/>
  <c r="T17" i="30"/>
  <c r="W17" i="30"/>
  <c r="Y17" i="30"/>
  <c r="AQ17" i="30"/>
  <c r="AC17" i="30"/>
  <c r="AR17" i="30"/>
  <c r="X17" i="30"/>
  <c r="U17" i="30"/>
  <c r="AK17" i="30"/>
  <c r="AH17" i="30"/>
  <c r="Z17" i="30"/>
  <c r="R17" i="30"/>
  <c r="Q17" i="30"/>
  <c r="S17" i="30"/>
  <c r="AF17" i="30"/>
  <c r="P17" i="30"/>
  <c r="X16" i="30"/>
  <c r="AE16" i="30"/>
  <c r="AB16" i="30"/>
  <c r="W16" i="30"/>
  <c r="AP16" i="30"/>
  <c r="AM16" i="30"/>
  <c r="Z16" i="30"/>
  <c r="U16" i="30"/>
  <c r="AH16" i="30"/>
  <c r="AS16" i="30"/>
  <c r="AR16" i="30"/>
  <c r="AJ16" i="30"/>
  <c r="V16" i="30"/>
  <c r="Y16" i="30"/>
  <c r="AF16" i="30"/>
  <c r="AD16" i="30"/>
  <c r="AL16" i="30"/>
  <c r="T16" i="30"/>
  <c r="AA16" i="30"/>
  <c r="AG16" i="30"/>
  <c r="AQ16" i="30"/>
  <c r="AC16" i="30"/>
  <c r="S16" i="30"/>
  <c r="AK16" i="30"/>
  <c r="Q16" i="30"/>
  <c r="R16" i="30"/>
  <c r="AI16" i="30"/>
  <c r="AO16" i="30"/>
  <c r="AN16" i="30"/>
  <c r="P16" i="30"/>
  <c r="AU5" i="30"/>
  <c r="AJ5" i="9"/>
  <c r="AH4" i="11"/>
  <c r="AK3" i="5"/>
  <c r="AK25" i="5" s="1"/>
  <c r="AK38" i="5" s="1"/>
  <c r="AK51" i="5" s="1"/>
  <c r="AK64" i="5" s="1"/>
  <c r="AK3" i="25"/>
  <c r="AK3" i="36"/>
  <c r="AK25" i="36" s="1"/>
  <c r="AK38" i="36" s="1"/>
  <c r="AK51" i="36" s="1"/>
  <c r="AK64" i="36" s="1"/>
  <c r="AJ3" i="10"/>
  <c r="AJ3" i="31"/>
  <c r="AJ5" i="8"/>
  <c r="AI3" i="12"/>
  <c r="AO3" i="34"/>
  <c r="AO28" i="34" s="1"/>
  <c r="AU12" i="6"/>
  <c r="AT15" i="6"/>
  <c r="AT74" i="6"/>
  <c r="AT59" i="6"/>
  <c r="AI6" i="31"/>
  <c r="AJ6" i="25"/>
  <c r="AJ6" i="5"/>
  <c r="AT8" i="30"/>
  <c r="AG7" i="11"/>
  <c r="AI8" i="9"/>
  <c r="AH6" i="12"/>
  <c r="AH39" i="12" s="1"/>
  <c r="AH51" i="12" s="1"/>
  <c r="AH62" i="12" s="1"/>
  <c r="AI8" i="8"/>
  <c r="AN6" i="34"/>
  <c r="AJ6" i="36"/>
  <c r="AI6" i="10"/>
  <c r="X56" i="36"/>
  <c r="AN70" i="36"/>
  <c r="AO44" i="36"/>
  <c r="AO57" i="36" s="1"/>
  <c r="AO70" i="36" s="1"/>
  <c r="AO33" i="5"/>
  <c r="AO35" i="5" s="1"/>
  <c r="AO69" i="5"/>
  <c r="M41" i="12"/>
  <c r="M46" i="12" s="1"/>
  <c r="M29" i="9"/>
  <c r="L48" i="12"/>
  <c r="H27" i="30"/>
  <c r="I27" i="30" s="1"/>
  <c r="H26" i="30"/>
  <c r="I26" i="30" s="1"/>
  <c r="H25" i="30"/>
  <c r="I25" i="30" s="1"/>
  <c r="H24" i="30"/>
  <c r="I24" i="30" s="1"/>
  <c r="H23" i="30"/>
  <c r="I23" i="30" s="1"/>
  <c r="H11" i="30"/>
  <c r="H12" i="30"/>
  <c r="I12" i="30" s="1"/>
  <c r="H13" i="30"/>
  <c r="H14" i="30"/>
  <c r="I14" i="30" s="1"/>
  <c r="H15" i="30"/>
  <c r="I15" i="30" s="1"/>
  <c r="E34" i="30"/>
  <c r="C31" i="34" s="1"/>
  <c r="D34" i="30"/>
  <c r="D21" i="30"/>
  <c r="F27" i="30"/>
  <c r="F26" i="30"/>
  <c r="F25" i="30"/>
  <c r="F12" i="30"/>
  <c r="F13" i="30"/>
  <c r="F14" i="30"/>
  <c r="F15" i="30"/>
  <c r="AC79" i="6" l="1" a="1"/>
  <c r="AC79" i="6" s="1"/>
  <c r="AC85" i="6" a="1"/>
  <c r="AC85" i="6" s="1"/>
  <c r="AD32" i="6"/>
  <c r="AD33" i="6" s="1"/>
  <c r="AE30" i="6" s="1"/>
  <c r="AD36" i="6"/>
  <c r="AD37" i="6" s="1"/>
  <c r="AD53" i="6" s="1"/>
  <c r="AD55" i="6" s="1"/>
  <c r="AD52" i="6"/>
  <c r="AB89" i="6"/>
  <c r="AT35" i="6" a="1"/>
  <c r="AT35" i="6" s="1"/>
  <c r="AT24" i="6" a="1"/>
  <c r="AT24" i="6" s="1"/>
  <c r="AT46" i="6" a="1"/>
  <c r="AT46" i="6" s="1"/>
  <c r="AJ5" i="10"/>
  <c r="AI5" i="12"/>
  <c r="AK5" i="36"/>
  <c r="AH6" i="11"/>
  <c r="AU7" i="30"/>
  <c r="AU15" i="30" s="1"/>
  <c r="AJ7" i="9"/>
  <c r="AJ5" i="31"/>
  <c r="AO5" i="34"/>
  <c r="AK5" i="25"/>
  <c r="AK5" i="5"/>
  <c r="AJ7" i="8"/>
  <c r="AT72" i="6"/>
  <c r="AT31" i="30"/>
  <c r="AT33" i="30"/>
  <c r="AT29" i="30"/>
  <c r="AT28" i="30"/>
  <c r="AT10" i="30"/>
  <c r="AT30" i="30"/>
  <c r="AT18" i="30"/>
  <c r="AT32" i="30"/>
  <c r="AT19" i="30"/>
  <c r="AT20" i="30"/>
  <c r="AU14" i="6"/>
  <c r="AL4" i="25"/>
  <c r="AK6" i="8"/>
  <c r="AK6" i="9"/>
  <c r="AP4" i="34"/>
  <c r="AI5" i="11"/>
  <c r="AK4" i="31"/>
  <c r="AK4" i="10"/>
  <c r="AV13" i="6"/>
  <c r="AL4" i="5"/>
  <c r="AV6" i="30"/>
  <c r="AL4" i="36"/>
  <c r="AJ4" i="12"/>
  <c r="AT16" i="30"/>
  <c r="AT42" i="6"/>
  <c r="AT31" i="6"/>
  <c r="AT20" i="6"/>
  <c r="AT17" i="30"/>
  <c r="AN39" i="34"/>
  <c r="AN34" i="34"/>
  <c r="AN35" i="34"/>
  <c r="AN42" i="34"/>
  <c r="AN32" i="34"/>
  <c r="AN33" i="34"/>
  <c r="AN44" i="34"/>
  <c r="AN36" i="34"/>
  <c r="AN37" i="34"/>
  <c r="AN43" i="34"/>
  <c r="AN40" i="34"/>
  <c r="AN41" i="34"/>
  <c r="AN38" i="34"/>
  <c r="AJ43" i="6"/>
  <c r="AJ44" i="6" s="1"/>
  <c r="AK41" i="6" s="1"/>
  <c r="AK43" i="6" s="1"/>
  <c r="AJ47" i="6"/>
  <c r="AJ48" i="6" s="1"/>
  <c r="AF21" i="6"/>
  <c r="AF22" i="6" s="1"/>
  <c r="AG19" i="6" s="1"/>
  <c r="AF25" i="6"/>
  <c r="AF26" i="6" s="1"/>
  <c r="V24" i="30"/>
  <c r="AQ24" i="30"/>
  <c r="AL24" i="30"/>
  <c r="Z24" i="30"/>
  <c r="Q24" i="30"/>
  <c r="AO24" i="30"/>
  <c r="AP24" i="30"/>
  <c r="AD24" i="30"/>
  <c r="AS24" i="30"/>
  <c r="S24" i="30"/>
  <c r="AF24" i="30"/>
  <c r="AM24" i="30"/>
  <c r="AR24" i="30"/>
  <c r="AH24" i="30"/>
  <c r="Y24" i="30"/>
  <c r="AT24" i="30"/>
  <c r="AK24" i="30"/>
  <c r="AN24" i="30"/>
  <c r="AI24" i="30"/>
  <c r="W24" i="30"/>
  <c r="AB24" i="30"/>
  <c r="AA24" i="30"/>
  <c r="AE24" i="30"/>
  <c r="AG24" i="30"/>
  <c r="AC24" i="30"/>
  <c r="U24" i="30"/>
  <c r="X24" i="30"/>
  <c r="R24" i="30"/>
  <c r="T24" i="30"/>
  <c r="AJ24" i="30"/>
  <c r="P24" i="30"/>
  <c r="Q23" i="30"/>
  <c r="AQ23" i="30"/>
  <c r="AF23" i="30"/>
  <c r="AM23" i="30"/>
  <c r="AA23" i="30"/>
  <c r="AJ23" i="30"/>
  <c r="AL23" i="30"/>
  <c r="AR23" i="30"/>
  <c r="AE23" i="30"/>
  <c r="W23" i="30"/>
  <c r="AO23" i="30"/>
  <c r="AP23" i="30"/>
  <c r="AT23" i="30"/>
  <c r="X23" i="30"/>
  <c r="AS23" i="30"/>
  <c r="Z23" i="30"/>
  <c r="V23" i="30"/>
  <c r="T23" i="30"/>
  <c r="R23" i="30"/>
  <c r="AN23" i="30"/>
  <c r="Y23" i="30"/>
  <c r="AH23" i="30"/>
  <c r="U23" i="30"/>
  <c r="AI23" i="30"/>
  <c r="AD23" i="30"/>
  <c r="AG23" i="30"/>
  <c r="AC23" i="30"/>
  <c r="AK23" i="30"/>
  <c r="P23" i="30"/>
  <c r="AI14" i="30"/>
  <c r="V14" i="30"/>
  <c r="AM14" i="30"/>
  <c r="AR14" i="30"/>
  <c r="AJ14" i="30"/>
  <c r="X14" i="30"/>
  <c r="U14" i="30"/>
  <c r="AH14" i="30"/>
  <c r="AL14" i="30"/>
  <c r="AA14" i="30"/>
  <c r="R14" i="30"/>
  <c r="AG14" i="30"/>
  <c r="AK14" i="30"/>
  <c r="W14" i="30"/>
  <c r="AE14" i="30"/>
  <c r="T14" i="30"/>
  <c r="AP14" i="30"/>
  <c r="AF14" i="30"/>
  <c r="AD14" i="30"/>
  <c r="AS14" i="30"/>
  <c r="AB14" i="30"/>
  <c r="Q14" i="30"/>
  <c r="AC14" i="30"/>
  <c r="S14" i="30"/>
  <c r="AN14" i="30"/>
  <c r="AO14" i="30"/>
  <c r="AQ14" i="30"/>
  <c r="Z14" i="30"/>
  <c r="Y14" i="30"/>
  <c r="AT14" i="30"/>
  <c r="P14" i="30"/>
  <c r="AR26" i="30"/>
  <c r="S26" i="30"/>
  <c r="Z26" i="30"/>
  <c r="AN26" i="30"/>
  <c r="AB26" i="30"/>
  <c r="V26" i="30"/>
  <c r="AS26" i="30"/>
  <c r="AO26" i="30"/>
  <c r="AI26" i="30"/>
  <c r="AF26" i="30"/>
  <c r="AP26" i="30"/>
  <c r="AC26" i="30"/>
  <c r="Q26" i="30"/>
  <c r="Y26" i="30"/>
  <c r="X26" i="30"/>
  <c r="W26" i="30"/>
  <c r="AT26" i="30"/>
  <c r="AM26" i="30"/>
  <c r="AK26" i="30"/>
  <c r="AG26" i="30"/>
  <c r="AH26" i="30"/>
  <c r="T26" i="30"/>
  <c r="AE26" i="30"/>
  <c r="AQ26" i="30"/>
  <c r="AA26" i="30"/>
  <c r="AJ26" i="30"/>
  <c r="U26" i="30"/>
  <c r="AL26" i="30"/>
  <c r="AD26" i="30"/>
  <c r="P26" i="30"/>
  <c r="AR25" i="30"/>
  <c r="AN25" i="30"/>
  <c r="AC25" i="30"/>
  <c r="T25" i="30"/>
  <c r="W25" i="30"/>
  <c r="Z25" i="30"/>
  <c r="AI25" i="30"/>
  <c r="AO25" i="30"/>
  <c r="AF25" i="30"/>
  <c r="U25" i="30"/>
  <c r="AQ25" i="30"/>
  <c r="AA25" i="30"/>
  <c r="AJ25" i="30"/>
  <c r="AP25" i="30"/>
  <c r="AD25" i="30"/>
  <c r="Q25" i="30"/>
  <c r="V25" i="30"/>
  <c r="AG25" i="30"/>
  <c r="AS25" i="30"/>
  <c r="AL25" i="30"/>
  <c r="AT25" i="30"/>
  <c r="AB25" i="30"/>
  <c r="AM25" i="30"/>
  <c r="AH25" i="30"/>
  <c r="S25" i="30"/>
  <c r="AK25" i="30"/>
  <c r="X25" i="30"/>
  <c r="AE25" i="30"/>
  <c r="Y25" i="30"/>
  <c r="P25" i="30"/>
  <c r="W15" i="30"/>
  <c r="AD15" i="30"/>
  <c r="AT15" i="30"/>
  <c r="AL15" i="30"/>
  <c r="R15" i="30"/>
  <c r="AI15" i="30"/>
  <c r="AQ15" i="30"/>
  <c r="AG15" i="30"/>
  <c r="V15" i="30"/>
  <c r="AH15" i="30"/>
  <c r="AS15" i="30"/>
  <c r="S15" i="30"/>
  <c r="AB15" i="30"/>
  <c r="Y15" i="30"/>
  <c r="U15" i="30"/>
  <c r="AR15" i="30"/>
  <c r="AA15" i="30"/>
  <c r="T15" i="30"/>
  <c r="AE15" i="30"/>
  <c r="AP15" i="30"/>
  <c r="X15" i="30"/>
  <c r="AK15" i="30"/>
  <c r="Q15" i="30"/>
  <c r="AN15" i="30"/>
  <c r="AO15" i="30"/>
  <c r="AC15" i="30"/>
  <c r="AF15" i="30"/>
  <c r="AM15" i="30"/>
  <c r="Z15" i="30"/>
  <c r="AJ15" i="30"/>
  <c r="P15" i="30"/>
  <c r="AO27" i="30"/>
  <c r="AQ27" i="30"/>
  <c r="AB27" i="30"/>
  <c r="Y27" i="30"/>
  <c r="AE27" i="30"/>
  <c r="AT27" i="30"/>
  <c r="AC27" i="30"/>
  <c r="AR27" i="30"/>
  <c r="AK27" i="30"/>
  <c r="Z27" i="30"/>
  <c r="R27" i="30"/>
  <c r="AI27" i="30"/>
  <c r="X27" i="30"/>
  <c r="W27" i="30"/>
  <c r="U27" i="30"/>
  <c r="AP27" i="30"/>
  <c r="AH27" i="30"/>
  <c r="AM27" i="30"/>
  <c r="AG27" i="30"/>
  <c r="T27" i="30"/>
  <c r="AF27" i="30"/>
  <c r="AD27" i="30"/>
  <c r="AL27" i="30"/>
  <c r="Q27" i="30"/>
  <c r="AJ27" i="30"/>
  <c r="V27" i="30"/>
  <c r="AN27" i="30"/>
  <c r="AS27" i="30"/>
  <c r="AA27" i="30"/>
  <c r="S27" i="30"/>
  <c r="P27" i="30"/>
  <c r="AG12" i="30"/>
  <c r="W12" i="30"/>
  <c r="S12" i="30"/>
  <c r="U12" i="30"/>
  <c r="AE12" i="30"/>
  <c r="AH12" i="30"/>
  <c r="T12" i="30"/>
  <c r="AJ12" i="30"/>
  <c r="X12" i="30"/>
  <c r="AI12" i="30"/>
  <c r="V12" i="30"/>
  <c r="AT12" i="30"/>
  <c r="AB12" i="30"/>
  <c r="AL12" i="30"/>
  <c r="Z12" i="30"/>
  <c r="AA12" i="30"/>
  <c r="AK12" i="30"/>
  <c r="Y12" i="30"/>
  <c r="AS12" i="30"/>
  <c r="AC12" i="30"/>
  <c r="AO12" i="30"/>
  <c r="AF12" i="30"/>
  <c r="AP12" i="30"/>
  <c r="R12" i="30"/>
  <c r="Q12" i="30"/>
  <c r="AM12" i="30"/>
  <c r="AN12" i="30"/>
  <c r="AD12" i="30"/>
  <c r="AR12" i="30"/>
  <c r="AQ12" i="30"/>
  <c r="P12" i="30"/>
  <c r="AQ101" i="6"/>
  <c r="AG10" i="10" s="1"/>
  <c r="AR101" i="6"/>
  <c r="AH10" i="10" s="1"/>
  <c r="AO6" i="34"/>
  <c r="AJ6" i="10"/>
  <c r="AU8" i="30"/>
  <c r="AH7" i="11"/>
  <c r="AK6" i="5"/>
  <c r="AJ8" i="9"/>
  <c r="AK6" i="36"/>
  <c r="AJ6" i="31"/>
  <c r="AI6" i="12"/>
  <c r="AI39" i="12" s="1"/>
  <c r="AI51" i="12" s="1"/>
  <c r="AI62" i="12" s="1"/>
  <c r="AK6" i="25"/>
  <c r="AJ8" i="8"/>
  <c r="AS51" i="6"/>
  <c r="AS99" i="6" s="1" a="1"/>
  <c r="AS99" i="6" s="1"/>
  <c r="AI4" i="11"/>
  <c r="AK3" i="10"/>
  <c r="AK5" i="8"/>
  <c r="AK5" i="9"/>
  <c r="AK3" i="31"/>
  <c r="AL3" i="5"/>
  <c r="AL25" i="5" s="1"/>
  <c r="AL38" i="5" s="1"/>
  <c r="AL51" i="5" s="1"/>
  <c r="AL64" i="5" s="1"/>
  <c r="AJ3" i="12"/>
  <c r="AP3" i="34"/>
  <c r="AP28" i="34" s="1"/>
  <c r="AL3" i="36"/>
  <c r="AL25" i="36" s="1"/>
  <c r="AL38" i="36" s="1"/>
  <c r="AL51" i="36" s="1"/>
  <c r="AL64" i="36" s="1"/>
  <c r="AL3" i="25"/>
  <c r="AV5" i="30"/>
  <c r="AV12" i="6"/>
  <c r="AU15" i="6"/>
  <c r="AU59" i="6"/>
  <c r="AU74" i="6"/>
  <c r="X59" i="36"/>
  <c r="X69" i="36"/>
  <c r="X72" i="36" s="1"/>
  <c r="Y43" i="36"/>
  <c r="Y46" i="36" s="1"/>
  <c r="C9" i="34"/>
  <c r="F21" i="30"/>
  <c r="I13" i="30"/>
  <c r="I11" i="30"/>
  <c r="H21" i="30"/>
  <c r="C45" i="34"/>
  <c r="E15" i="22" s="1"/>
  <c r="N41" i="12"/>
  <c r="N46" i="12" s="1"/>
  <c r="N29" i="9"/>
  <c r="M48" i="12"/>
  <c r="E36" i="30"/>
  <c r="D36" i="30"/>
  <c r="I34" i="30"/>
  <c r="H34" i="30"/>
  <c r="F34" i="30"/>
  <c r="D26" i="8"/>
  <c r="D24" i="8"/>
  <c r="C23" i="8"/>
  <c r="D25" i="8"/>
  <c r="E50" i="8"/>
  <c r="AC89" i="6" l="1"/>
  <c r="AE32" i="6"/>
  <c r="AE52" i="6"/>
  <c r="AE33" i="6"/>
  <c r="AF30" i="6" s="1"/>
  <c r="AE36" i="6"/>
  <c r="AE37" i="6" s="1"/>
  <c r="AE53" i="6" s="1"/>
  <c r="AE55" i="6" s="1"/>
  <c r="AB103" i="6"/>
  <c r="R9" i="10"/>
  <c r="R11" i="10" s="1"/>
  <c r="AD79" i="6" a="1"/>
  <c r="AD79" i="6" s="1"/>
  <c r="AD85" i="6" a="1"/>
  <c r="AD85" i="6" s="1"/>
  <c r="AS94" i="6" a="1"/>
  <c r="AS94" i="6" s="1"/>
  <c r="AU28" i="30"/>
  <c r="AU10" i="30"/>
  <c r="AU32" i="30"/>
  <c r="AU29" i="30"/>
  <c r="AU18" i="30"/>
  <c r="AU31" i="30"/>
  <c r="AU30" i="30"/>
  <c r="AU33" i="30"/>
  <c r="AU20" i="30"/>
  <c r="AU19" i="30"/>
  <c r="AU17" i="30"/>
  <c r="AU16" i="30"/>
  <c r="AU25" i="30"/>
  <c r="AU12" i="30"/>
  <c r="AU27" i="30"/>
  <c r="AU23" i="30"/>
  <c r="AU24" i="30"/>
  <c r="AV14" i="6"/>
  <c r="AL4" i="31"/>
  <c r="AL6" i="9"/>
  <c r="AK4" i="12"/>
  <c r="AM4" i="36"/>
  <c r="AQ4" i="34"/>
  <c r="AJ5" i="11"/>
  <c r="AL4" i="10"/>
  <c r="AL6" i="8"/>
  <c r="AW13" i="6"/>
  <c r="AM4" i="25"/>
  <c r="AM4" i="5"/>
  <c r="AW6" i="30"/>
  <c r="AU35" i="6" a="1"/>
  <c r="AU35" i="6" s="1"/>
  <c r="AU46" i="6" a="1"/>
  <c r="AU46" i="6" s="1"/>
  <c r="AU24" i="6" a="1"/>
  <c r="AU24" i="6" s="1"/>
  <c r="AK7" i="9"/>
  <c r="AL5" i="25"/>
  <c r="AK5" i="10"/>
  <c r="AK7" i="8"/>
  <c r="AK5" i="31"/>
  <c r="AI6" i="11"/>
  <c r="AJ5" i="12"/>
  <c r="AV7" i="30"/>
  <c r="AV11" i="30" s="1"/>
  <c r="AL5" i="36"/>
  <c r="AP5" i="34"/>
  <c r="AL5" i="5"/>
  <c r="AU72" i="6"/>
  <c r="AO36" i="34"/>
  <c r="AO39" i="34"/>
  <c r="AO38" i="34"/>
  <c r="AO42" i="34"/>
  <c r="AO35" i="34"/>
  <c r="AO32" i="34"/>
  <c r="AO41" i="34"/>
  <c r="AO44" i="34"/>
  <c r="AO34" i="34"/>
  <c r="AO37" i="34"/>
  <c r="AO33" i="34"/>
  <c r="AO43" i="34"/>
  <c r="AO40" i="34"/>
  <c r="AU26" i="30"/>
  <c r="AU20" i="6"/>
  <c r="AU42" i="6"/>
  <c r="AU31" i="6"/>
  <c r="AU14" i="30"/>
  <c r="AK47" i="6"/>
  <c r="AK48" i="6" s="1"/>
  <c r="AK44" i="6"/>
  <c r="AL41" i="6" s="1"/>
  <c r="AL43" i="6" s="1"/>
  <c r="AG21" i="6"/>
  <c r="AG22" i="6" s="1"/>
  <c r="AH19" i="6" s="1"/>
  <c r="AG25" i="6"/>
  <c r="AG26" i="6" s="1"/>
  <c r="I21" i="30"/>
  <c r="I36" i="30" s="1"/>
  <c r="AO11" i="30"/>
  <c r="AG11" i="30"/>
  <c r="AH11" i="30"/>
  <c r="T11" i="30"/>
  <c r="AA11" i="30"/>
  <c r="Z11" i="30"/>
  <c r="Y11" i="30"/>
  <c r="X11" i="30"/>
  <c r="AD11" i="30"/>
  <c r="AU11" i="30"/>
  <c r="Q11" i="30"/>
  <c r="V11" i="30"/>
  <c r="AT11" i="30"/>
  <c r="AL11" i="30"/>
  <c r="R11" i="30"/>
  <c r="AN11" i="30"/>
  <c r="AQ11" i="30"/>
  <c r="AM11" i="30"/>
  <c r="U11" i="30"/>
  <c r="AC11" i="30"/>
  <c r="AB11" i="30"/>
  <c r="AE11" i="30"/>
  <c r="AJ11" i="30"/>
  <c r="S11" i="30"/>
  <c r="W11" i="30"/>
  <c r="AF11" i="30"/>
  <c r="AS11" i="30"/>
  <c r="AR11" i="30"/>
  <c r="AI11" i="30"/>
  <c r="AP11" i="30"/>
  <c r="AK11" i="30"/>
  <c r="AP13" i="30"/>
  <c r="AL13" i="30"/>
  <c r="AG13" i="30"/>
  <c r="AI13" i="30"/>
  <c r="V13" i="30"/>
  <c r="AH13" i="30"/>
  <c r="S13" i="30"/>
  <c r="AR13" i="30"/>
  <c r="AE13" i="30"/>
  <c r="AD13" i="30"/>
  <c r="AB13" i="30"/>
  <c r="AK13" i="30"/>
  <c r="Q13" i="30"/>
  <c r="U13" i="30"/>
  <c r="Y13" i="30"/>
  <c r="X13" i="30"/>
  <c r="Z13" i="30"/>
  <c r="AJ13" i="30"/>
  <c r="AM13" i="30"/>
  <c r="AU13" i="30"/>
  <c r="T13" i="30"/>
  <c r="AF13" i="30"/>
  <c r="W13" i="30"/>
  <c r="AC13" i="30"/>
  <c r="AQ13" i="30"/>
  <c r="R13" i="30"/>
  <c r="AO13" i="30"/>
  <c r="AA13" i="30"/>
  <c r="AN13" i="30"/>
  <c r="AS13" i="30"/>
  <c r="AT13" i="30"/>
  <c r="P13" i="30"/>
  <c r="P39" i="30" s="1"/>
  <c r="AI7" i="11"/>
  <c r="AK8" i="8"/>
  <c r="AJ6" i="12"/>
  <c r="AJ39" i="12" s="1"/>
  <c r="AJ51" i="12" s="1"/>
  <c r="AJ62" i="12" s="1"/>
  <c r="AP6" i="34"/>
  <c r="AV8" i="30"/>
  <c r="AK6" i="10"/>
  <c r="AK6" i="31"/>
  <c r="AL6" i="25"/>
  <c r="AL6" i="5"/>
  <c r="AK8" i="9"/>
  <c r="AL6" i="36"/>
  <c r="AW12" i="6"/>
  <c r="AJ4" i="11"/>
  <c r="AL3" i="10"/>
  <c r="AL5" i="8"/>
  <c r="AL5" i="9"/>
  <c r="AK3" i="12"/>
  <c r="AM3" i="36"/>
  <c r="AM25" i="36" s="1"/>
  <c r="AM38" i="36" s="1"/>
  <c r="AM51" i="36" s="1"/>
  <c r="AM64" i="36" s="1"/>
  <c r="AW5" i="30"/>
  <c r="AL3" i="31"/>
  <c r="AM3" i="5"/>
  <c r="AM25" i="5" s="1"/>
  <c r="AM38" i="5" s="1"/>
  <c r="AM51" i="5" s="1"/>
  <c r="AM64" i="5" s="1"/>
  <c r="AM3" i="25"/>
  <c r="AV59" i="6"/>
  <c r="AV74" i="6"/>
  <c r="AQ3" i="34"/>
  <c r="AQ28" i="34" s="1"/>
  <c r="AV15" i="6"/>
  <c r="AT51" i="6"/>
  <c r="AT94" i="6" s="1" a="1"/>
  <c r="AT94" i="6" s="1"/>
  <c r="Y56" i="36"/>
  <c r="P40" i="30"/>
  <c r="AH40" i="30"/>
  <c r="AH34" i="30"/>
  <c r="AB31" i="34" s="1"/>
  <c r="AL40" i="30"/>
  <c r="AL34" i="30"/>
  <c r="AF31" i="34" s="1"/>
  <c r="AD34" i="30"/>
  <c r="X31" i="34" s="1"/>
  <c r="AD40" i="30"/>
  <c r="AF40" i="30"/>
  <c r="AF34" i="30"/>
  <c r="Z31" i="34" s="1"/>
  <c r="AQ40" i="30"/>
  <c r="AQ34" i="30"/>
  <c r="AK31" i="34" s="1"/>
  <c r="AG40" i="30"/>
  <c r="AG34" i="30"/>
  <c r="AA31" i="34" s="1"/>
  <c r="AT34" i="30"/>
  <c r="AN31" i="34" s="1"/>
  <c r="AT40" i="30"/>
  <c r="AC34" i="30"/>
  <c r="W31" i="34" s="1"/>
  <c r="AC40" i="30"/>
  <c r="AR34" i="30"/>
  <c r="AL31" i="34" s="1"/>
  <c r="AR40" i="30"/>
  <c r="AK40" i="30"/>
  <c r="AK34" i="30"/>
  <c r="AE31" i="34" s="1"/>
  <c r="AI34" i="30"/>
  <c r="AC31" i="34" s="1"/>
  <c r="AI40" i="30"/>
  <c r="AN34" i="30"/>
  <c r="AH31" i="34" s="1"/>
  <c r="AN40" i="30"/>
  <c r="AE40" i="30"/>
  <c r="AE34" i="30"/>
  <c r="Y31" i="34" s="1"/>
  <c r="AB34" i="30"/>
  <c r="V31" i="34" s="1"/>
  <c r="V45" i="34" s="1"/>
  <c r="AB40" i="30"/>
  <c r="AO34" i="30"/>
  <c r="AI31" i="34" s="1"/>
  <c r="AO40" i="30"/>
  <c r="AP40" i="30"/>
  <c r="AP34" i="30"/>
  <c r="AJ31" i="34" s="1"/>
  <c r="AJ34" i="30"/>
  <c r="AD31" i="34" s="1"/>
  <c r="AJ40" i="30"/>
  <c r="AM40" i="30"/>
  <c r="AM34" i="30"/>
  <c r="AG31" i="34" s="1"/>
  <c r="AS34" i="30"/>
  <c r="AM31" i="34" s="1"/>
  <c r="AS40" i="30"/>
  <c r="F36" i="30"/>
  <c r="C23" i="34"/>
  <c r="E14" i="22" s="1"/>
  <c r="P34" i="30"/>
  <c r="E17" i="22"/>
  <c r="O41" i="12"/>
  <c r="O46" i="12" s="1"/>
  <c r="P41" i="12" s="1"/>
  <c r="P46" i="12" s="1"/>
  <c r="N48" i="12"/>
  <c r="O29" i="9"/>
  <c r="H36" i="30"/>
  <c r="AV13" i="30" l="1"/>
  <c r="AU51" i="6"/>
  <c r="S9" i="10"/>
  <c r="S11" i="10" s="1"/>
  <c r="AC103" i="6"/>
  <c r="AL47" i="6"/>
  <c r="AL48" i="6" s="1"/>
  <c r="AT99" i="6" a="1"/>
  <c r="AT99" i="6" s="1"/>
  <c r="R19" i="8"/>
  <c r="R18" i="8"/>
  <c r="AD89" i="6"/>
  <c r="AF32" i="6"/>
  <c r="AF33" i="6" s="1"/>
  <c r="AG30" i="6" s="1"/>
  <c r="AF52" i="6"/>
  <c r="AF36" i="6"/>
  <c r="AF37" i="6" s="1"/>
  <c r="AF53" i="6" s="1"/>
  <c r="AF55" i="6" s="1"/>
  <c r="AU99" i="6" a="1"/>
  <c r="AU99" i="6" s="1"/>
  <c r="AU94" i="6" a="1"/>
  <c r="AU94" i="6" s="1"/>
  <c r="AE79" i="6" a="1"/>
  <c r="AE79" i="6" s="1"/>
  <c r="AE85" i="6" a="1"/>
  <c r="AE85" i="6" s="1"/>
  <c r="AL44" i="6"/>
  <c r="AM41" i="6" s="1"/>
  <c r="AM43" i="6" s="1"/>
  <c r="AU40" i="30"/>
  <c r="AU34" i="30"/>
  <c r="AO31" i="34" s="1"/>
  <c r="AP33" i="34"/>
  <c r="AP41" i="34"/>
  <c r="AP36" i="34"/>
  <c r="AP44" i="34"/>
  <c r="AP38" i="34"/>
  <c r="AP35" i="34"/>
  <c r="AP39" i="34"/>
  <c r="AP42" i="34"/>
  <c r="AP32" i="34"/>
  <c r="AP37" i="34"/>
  <c r="AP34" i="34"/>
  <c r="AP40" i="34"/>
  <c r="AP43" i="34"/>
  <c r="AW14" i="6"/>
  <c r="AM4" i="31"/>
  <c r="AN4" i="5"/>
  <c r="AM4" i="10"/>
  <c r="AN4" i="25"/>
  <c r="AM6" i="8"/>
  <c r="AM6" i="9"/>
  <c r="AL4" i="12"/>
  <c r="AN4" i="36"/>
  <c r="AK5" i="11"/>
  <c r="AR4" i="34"/>
  <c r="AX13" i="6"/>
  <c r="AX6" i="30"/>
  <c r="AV42" i="6"/>
  <c r="AV20" i="6"/>
  <c r="AV31" i="6"/>
  <c r="AV24" i="6" a="1"/>
  <c r="AV24" i="6" s="1"/>
  <c r="AV46" i="6" a="1"/>
  <c r="AV46" i="6" s="1"/>
  <c r="AV35" i="6" a="1"/>
  <c r="AV35" i="6" s="1"/>
  <c r="AL7" i="9"/>
  <c r="AM5" i="25"/>
  <c r="AL5" i="10"/>
  <c r="AL5" i="31"/>
  <c r="AK5" i="12"/>
  <c r="AM5" i="36"/>
  <c r="AQ5" i="34"/>
  <c r="AW7" i="30"/>
  <c r="AL7" i="8"/>
  <c r="AJ6" i="11"/>
  <c r="AM5" i="5"/>
  <c r="AV72" i="6"/>
  <c r="AV28" i="30"/>
  <c r="AV29" i="30"/>
  <c r="AV18" i="30"/>
  <c r="AV32" i="30"/>
  <c r="AV33" i="30"/>
  <c r="AV30" i="30"/>
  <c r="AV31" i="30"/>
  <c r="AV10" i="30"/>
  <c r="AV19" i="30"/>
  <c r="AV20" i="30"/>
  <c r="AV16" i="30"/>
  <c r="AV17" i="30"/>
  <c r="AV25" i="30"/>
  <c r="AV27" i="30"/>
  <c r="AV24" i="30"/>
  <c r="AV14" i="30"/>
  <c r="AV23" i="30"/>
  <c r="AV26" i="30"/>
  <c r="AV12" i="30"/>
  <c r="AV15" i="30"/>
  <c r="AH21" i="6"/>
  <c r="AH22" i="6" s="1"/>
  <c r="AI19" i="6" s="1"/>
  <c r="AH25" i="6"/>
  <c r="AH26" i="6" s="1"/>
  <c r="AM5" i="9"/>
  <c r="AL3" i="12"/>
  <c r="AN3" i="36"/>
  <c r="AN25" i="36" s="1"/>
  <c r="AN38" i="36" s="1"/>
  <c r="AN51" i="36" s="1"/>
  <c r="AN64" i="36" s="1"/>
  <c r="AN3" i="25"/>
  <c r="AR3" i="34"/>
  <c r="AR28" i="34" s="1"/>
  <c r="AX5" i="30"/>
  <c r="AK4" i="11"/>
  <c r="AM3" i="31"/>
  <c r="AM3" i="10"/>
  <c r="AM5" i="8"/>
  <c r="AN3" i="5"/>
  <c r="AN25" i="5" s="1"/>
  <c r="AN38" i="5" s="1"/>
  <c r="AN51" i="5" s="1"/>
  <c r="AN64" i="5" s="1"/>
  <c r="AW59" i="6"/>
  <c r="AW74" i="6"/>
  <c r="AX12" i="6"/>
  <c r="AW15" i="6"/>
  <c r="AJ7" i="11"/>
  <c r="AL8" i="8"/>
  <c r="AL6" i="31"/>
  <c r="AK6" i="12"/>
  <c r="AK39" i="12" s="1"/>
  <c r="AK51" i="12" s="1"/>
  <c r="AK62" i="12" s="1"/>
  <c r="AM6" i="36"/>
  <c r="AL8" i="9"/>
  <c r="AQ6" i="34"/>
  <c r="AW8" i="30"/>
  <c r="AL6" i="10"/>
  <c r="AM6" i="5"/>
  <c r="AM6" i="25"/>
  <c r="J31" i="34"/>
  <c r="J45" i="34" s="1"/>
  <c r="E16" i="10" s="1"/>
  <c r="AS101" i="6"/>
  <c r="AI10" i="10" s="1"/>
  <c r="Q29" i="9"/>
  <c r="P48" i="12"/>
  <c r="Q41" i="12"/>
  <c r="Q46" i="12" s="1"/>
  <c r="Y59" i="36"/>
  <c r="Y69" i="36"/>
  <c r="Y72" i="36" s="1"/>
  <c r="Z43" i="36"/>
  <c r="Z46" i="36" s="1"/>
  <c r="P21" i="30"/>
  <c r="J9" i="34" s="1"/>
  <c r="Y21" i="30"/>
  <c r="AH45" i="34"/>
  <c r="AK45" i="34"/>
  <c r="W45" i="34"/>
  <c r="AJ45" i="34"/>
  <c r="AF45" i="34"/>
  <c r="AM45" i="34"/>
  <c r="AL45" i="34"/>
  <c r="AG45" i="34"/>
  <c r="Z45" i="34"/>
  <c r="Q16" i="10"/>
  <c r="AC45" i="34"/>
  <c r="AN45" i="34"/>
  <c r="AO45" i="34"/>
  <c r="AE45" i="34"/>
  <c r="AA45" i="34"/>
  <c r="AB45" i="34"/>
  <c r="AI45" i="34"/>
  <c r="Y45" i="34"/>
  <c r="AD45" i="34"/>
  <c r="X45" i="34"/>
  <c r="AF39" i="30"/>
  <c r="AF41" i="30" s="1"/>
  <c r="AF21" i="30"/>
  <c r="AK39" i="30"/>
  <c r="AK41" i="30" s="1"/>
  <c r="AK21" i="30"/>
  <c r="AC21" i="30"/>
  <c r="AC39" i="30"/>
  <c r="AC41" i="30" s="1"/>
  <c r="AD39" i="30"/>
  <c r="AD41" i="30" s="1"/>
  <c r="AD21" i="30"/>
  <c r="AQ21" i="30"/>
  <c r="AQ39" i="30"/>
  <c r="AQ41" i="30" s="1"/>
  <c r="AB39" i="30"/>
  <c r="AB41" i="30" s="1"/>
  <c r="AB21" i="30"/>
  <c r="AP21" i="30"/>
  <c r="AP39" i="30"/>
  <c r="AP41" i="30" s="1"/>
  <c r="AO39" i="30"/>
  <c r="AO41" i="30" s="1"/>
  <c r="AO21" i="30"/>
  <c r="AU39" i="30"/>
  <c r="AU41" i="30" s="1"/>
  <c r="AU21" i="30"/>
  <c r="AN21" i="30"/>
  <c r="AN39" i="30"/>
  <c r="AN41" i="30" s="1"/>
  <c r="AG21" i="30"/>
  <c r="AG39" i="30"/>
  <c r="AG41" i="30" s="1"/>
  <c r="AI39" i="30"/>
  <c r="AI41" i="30" s="1"/>
  <c r="AI21" i="30"/>
  <c r="AR21" i="30"/>
  <c r="AR39" i="30"/>
  <c r="AR41" i="30" s="1"/>
  <c r="AH39" i="30"/>
  <c r="AH41" i="30" s="1"/>
  <c r="AH21" i="30"/>
  <c r="AL21" i="30"/>
  <c r="AL39" i="30"/>
  <c r="AL41" i="30" s="1"/>
  <c r="AE39" i="30"/>
  <c r="AE41" i="30" s="1"/>
  <c r="AE21" i="30"/>
  <c r="AT39" i="30"/>
  <c r="AT41" i="30" s="1"/>
  <c r="AT21" i="30"/>
  <c r="AM39" i="30"/>
  <c r="AM41" i="30" s="1"/>
  <c r="AM21" i="30"/>
  <c r="AJ21" i="30"/>
  <c r="AJ39" i="30"/>
  <c r="AJ41" i="30" s="1"/>
  <c r="AS21" i="30"/>
  <c r="AS39" i="30"/>
  <c r="AS41" i="30" s="1"/>
  <c r="AM44" i="6"/>
  <c r="AN41" i="6" s="1"/>
  <c r="AN43" i="6" s="1"/>
  <c r="X21" i="30"/>
  <c r="U21" i="30"/>
  <c r="Z21" i="30"/>
  <c r="R21" i="30"/>
  <c r="Q21" i="30"/>
  <c r="K9" i="34" s="1"/>
  <c r="P41" i="30"/>
  <c r="AA21" i="30"/>
  <c r="V21" i="30"/>
  <c r="W21" i="30"/>
  <c r="S21" i="30"/>
  <c r="T21" i="30"/>
  <c r="Q40" i="30"/>
  <c r="O48" i="12"/>
  <c r="P29" i="9"/>
  <c r="G27" i="2" s="1"/>
  <c r="Q34" i="30"/>
  <c r="K31" i="34" s="1"/>
  <c r="S19" i="8" l="1"/>
  <c r="S18" i="8"/>
  <c r="AE89" i="6"/>
  <c r="AM47" i="6"/>
  <c r="AM48" i="6" s="1"/>
  <c r="AG32" i="6"/>
  <c r="AG33" i="6" s="1"/>
  <c r="AH30" i="6" s="1"/>
  <c r="AG36" i="6"/>
  <c r="AG37" i="6" s="1"/>
  <c r="AG53" i="6" s="1"/>
  <c r="AG55" i="6" s="1"/>
  <c r="AG52" i="6"/>
  <c r="AF85" i="6" a="1"/>
  <c r="AF85" i="6" s="1"/>
  <c r="AF79" i="6" a="1"/>
  <c r="AF79" i="6" s="1"/>
  <c r="AV21" i="30"/>
  <c r="AD103" i="6"/>
  <c r="T9" i="10"/>
  <c r="T11" i="10" s="1"/>
  <c r="AV39" i="30"/>
  <c r="AW31" i="30"/>
  <c r="AW28" i="30"/>
  <c r="AW18" i="30"/>
  <c r="AW32" i="30"/>
  <c r="AW33" i="30"/>
  <c r="AW10" i="30"/>
  <c r="AW29" i="30"/>
  <c r="AW30" i="30"/>
  <c r="AW20" i="30"/>
  <c r="AW19" i="30"/>
  <c r="AW16" i="30"/>
  <c r="AW17" i="30"/>
  <c r="AW23" i="30"/>
  <c r="AW12" i="30"/>
  <c r="AW15" i="30"/>
  <c r="AW14" i="30"/>
  <c r="AW26" i="30"/>
  <c r="AW25" i="30"/>
  <c r="AW27" i="30"/>
  <c r="AW24" i="30"/>
  <c r="AW13" i="30"/>
  <c r="AW11" i="30"/>
  <c r="AW42" i="6"/>
  <c r="AW20" i="6"/>
  <c r="AW31" i="6"/>
  <c r="AQ38" i="34"/>
  <c r="AQ33" i="34"/>
  <c r="AQ41" i="34"/>
  <c r="AQ34" i="34"/>
  <c r="AQ44" i="34"/>
  <c r="AQ40" i="34"/>
  <c r="AQ42" i="34"/>
  <c r="AQ32" i="34"/>
  <c r="AQ39" i="34"/>
  <c r="AQ35" i="34"/>
  <c r="AQ36" i="34"/>
  <c r="AQ37" i="34"/>
  <c r="AQ43" i="34"/>
  <c r="AV40" i="30"/>
  <c r="AV34" i="30"/>
  <c r="AP31" i="34" s="1"/>
  <c r="AP45" i="34" s="1"/>
  <c r="AK16" i="10" s="1"/>
  <c r="AW46" i="6" a="1"/>
  <c r="AW46" i="6" s="1"/>
  <c r="AW35" i="6" a="1"/>
  <c r="AW35" i="6" s="1"/>
  <c r="AW24" i="6" a="1"/>
  <c r="AW24" i="6" s="1"/>
  <c r="AN5" i="5"/>
  <c r="AM7" i="9"/>
  <c r="AM5" i="10"/>
  <c r="AM7" i="8"/>
  <c r="AM5" i="31"/>
  <c r="AL5" i="12"/>
  <c r="AN5" i="36"/>
  <c r="AR5" i="34"/>
  <c r="AX7" i="30"/>
  <c r="AK6" i="11"/>
  <c r="AN5" i="25"/>
  <c r="AW72" i="6"/>
  <c r="AX14" i="6"/>
  <c r="AL5" i="11"/>
  <c r="AN4" i="31"/>
  <c r="AO4" i="5"/>
  <c r="AN4" i="10"/>
  <c r="AO4" i="25"/>
  <c r="AN6" i="8"/>
  <c r="AM4" i="12"/>
  <c r="AS4" i="34"/>
  <c r="AY6" i="30"/>
  <c r="AN6" i="9"/>
  <c r="AO4" i="36"/>
  <c r="AI21" i="6"/>
  <c r="AI25" i="6"/>
  <c r="AI26" i="6" s="1"/>
  <c r="AI22" i="6"/>
  <c r="AJ19" i="6" s="1"/>
  <c r="AU101" i="6"/>
  <c r="AK10" i="10" s="1"/>
  <c r="AV51" i="6"/>
  <c r="AV94" i="6" s="1" a="1"/>
  <c r="AV94" i="6" s="1"/>
  <c r="AT101" i="6"/>
  <c r="AJ10" i="10" s="1"/>
  <c r="AM6" i="31"/>
  <c r="AL6" i="12"/>
  <c r="AL39" i="12" s="1"/>
  <c r="AL51" i="12" s="1"/>
  <c r="AL62" i="12" s="1"/>
  <c r="AN6" i="36"/>
  <c r="AM8" i="9"/>
  <c r="AN6" i="25"/>
  <c r="AM8" i="8"/>
  <c r="AR6" i="34"/>
  <c r="AX8" i="30"/>
  <c r="AM6" i="10"/>
  <c r="AK7" i="11"/>
  <c r="AN6" i="5"/>
  <c r="AO3" i="25"/>
  <c r="AS3" i="34"/>
  <c r="AS28" i="34" s="1"/>
  <c r="AN5" i="9"/>
  <c r="AL4" i="11"/>
  <c r="AY5" i="30"/>
  <c r="AN3" i="31"/>
  <c r="AN3" i="10"/>
  <c r="AO3" i="36"/>
  <c r="AO25" i="36" s="1"/>
  <c r="AO38" i="36" s="1"/>
  <c r="AO51" i="36" s="1"/>
  <c r="AO64" i="36" s="1"/>
  <c r="AO3" i="5"/>
  <c r="AO25" i="5" s="1"/>
  <c r="AO38" i="5" s="1"/>
  <c r="AO51" i="5" s="1"/>
  <c r="AO64" i="5" s="1"/>
  <c r="AN5" i="8"/>
  <c r="AM3" i="12"/>
  <c r="AX15" i="6"/>
  <c r="AX59" i="6"/>
  <c r="AX74" i="6"/>
  <c r="R29" i="9"/>
  <c r="Q48" i="12"/>
  <c r="R41" i="12"/>
  <c r="R46" i="12" s="1"/>
  <c r="Z56" i="36"/>
  <c r="AJ16" i="10"/>
  <c r="AB16" i="10"/>
  <c r="AE16" i="10"/>
  <c r="AD16" i="10"/>
  <c r="X16" i="10"/>
  <c r="S16" i="10"/>
  <c r="AF16" i="10"/>
  <c r="Y16" i="10"/>
  <c r="U16" i="10"/>
  <c r="AC16" i="10"/>
  <c r="T16" i="10"/>
  <c r="W16" i="10"/>
  <c r="AI16" i="10"/>
  <c r="V16" i="10"/>
  <c r="R16" i="10"/>
  <c r="AH16" i="10"/>
  <c r="AA16" i="10"/>
  <c r="AG16" i="10"/>
  <c r="Z16" i="10"/>
  <c r="AT36" i="30"/>
  <c r="AN9" i="34"/>
  <c r="AB9" i="34"/>
  <c r="AH36" i="30"/>
  <c r="X9" i="34"/>
  <c r="AD36" i="30"/>
  <c r="W9" i="34"/>
  <c r="AC36" i="30"/>
  <c r="AK36" i="30"/>
  <c r="AE9" i="34"/>
  <c r="AP36" i="30"/>
  <c r="AJ9" i="34"/>
  <c r="AI36" i="30"/>
  <c r="AC9" i="34"/>
  <c r="AP9" i="34"/>
  <c r="V9" i="34"/>
  <c r="AB36" i="30"/>
  <c r="AR36" i="30"/>
  <c r="AL9" i="34"/>
  <c r="AM36" i="30"/>
  <c r="AG9" i="34"/>
  <c r="AO36" i="30"/>
  <c r="AI9" i="34"/>
  <c r="Z9" i="34"/>
  <c r="AF36" i="30"/>
  <c r="AS36" i="30"/>
  <c r="AM9" i="34"/>
  <c r="AH9" i="34"/>
  <c r="AN36" i="30"/>
  <c r="AE36" i="30"/>
  <c r="Y9" i="34"/>
  <c r="AO9" i="34"/>
  <c r="AU36" i="30"/>
  <c r="AJ36" i="30"/>
  <c r="AD9" i="34"/>
  <c r="AF9" i="34"/>
  <c r="AL36" i="30"/>
  <c r="AA9" i="34"/>
  <c r="AG36" i="30"/>
  <c r="AQ36" i="30"/>
  <c r="AK9" i="34"/>
  <c r="AN44" i="6"/>
  <c r="AO41" i="6" s="1"/>
  <c r="AO43" i="6" s="1"/>
  <c r="AN47" i="6"/>
  <c r="AN48" i="6" s="1"/>
  <c r="P36" i="30"/>
  <c r="R40" i="30"/>
  <c r="K45" i="34"/>
  <c r="R34" i="30"/>
  <c r="L31" i="34" s="1"/>
  <c r="AV36" i="30" l="1"/>
  <c r="AV41" i="30"/>
  <c r="U9" i="10"/>
  <c r="U11" i="10" s="1"/>
  <c r="AE103" i="6"/>
  <c r="AF89" i="6"/>
  <c r="T19" i="8"/>
  <c r="T18" i="8"/>
  <c r="AG79" i="6" a="1"/>
  <c r="AG79" i="6" s="1"/>
  <c r="AG85" i="6" a="1"/>
  <c r="AG85" i="6" s="1"/>
  <c r="AV99" i="6" a="1"/>
  <c r="AV99" i="6" s="1"/>
  <c r="AH32" i="6"/>
  <c r="AH33" i="6" s="1"/>
  <c r="AI30" i="6" s="1"/>
  <c r="AH36" i="6"/>
  <c r="AH37" i="6" s="1"/>
  <c r="AH53" i="6" s="1"/>
  <c r="AH55" i="6" s="1"/>
  <c r="AH52" i="6"/>
  <c r="AX30" i="30"/>
  <c r="AX29" i="30"/>
  <c r="AX28" i="30"/>
  <c r="AX31" i="30"/>
  <c r="AX18" i="30"/>
  <c r="AX32" i="30"/>
  <c r="AX33" i="30"/>
  <c r="AX10" i="30"/>
  <c r="AX20" i="30"/>
  <c r="AX19" i="30"/>
  <c r="AX17" i="30"/>
  <c r="AX16" i="30"/>
  <c r="AX24" i="30"/>
  <c r="AX12" i="30"/>
  <c r="AX15" i="30"/>
  <c r="AX25" i="30"/>
  <c r="AX23" i="30"/>
  <c r="AX26" i="30"/>
  <c r="AX14" i="30"/>
  <c r="AX27" i="30"/>
  <c r="AX11" i="30"/>
  <c r="AX13" i="30"/>
  <c r="AW21" i="30"/>
  <c r="AW39" i="30"/>
  <c r="AW40" i="30"/>
  <c r="AW34" i="30"/>
  <c r="AQ31" i="34" s="1"/>
  <c r="AQ45" i="34" s="1"/>
  <c r="AL16" i="10" s="1"/>
  <c r="AX31" i="6"/>
  <c r="AX42" i="6"/>
  <c r="AX20" i="6"/>
  <c r="I35" i="2"/>
  <c r="I36" i="2"/>
  <c r="AR35" i="34"/>
  <c r="AR38" i="34"/>
  <c r="AR37" i="34"/>
  <c r="AR41" i="34"/>
  <c r="AR34" i="34"/>
  <c r="AR44" i="34"/>
  <c r="AR43" i="34"/>
  <c r="AR40" i="34"/>
  <c r="AR42" i="34"/>
  <c r="AR32" i="34"/>
  <c r="AR33" i="34"/>
  <c r="AR39" i="34"/>
  <c r="AR36" i="34"/>
  <c r="AX46" i="6" a="1"/>
  <c r="AX46" i="6" s="1"/>
  <c r="AX35" i="6" a="1"/>
  <c r="AX35" i="6" s="1"/>
  <c r="AX24" i="6" a="1"/>
  <c r="AX24" i="6" s="1"/>
  <c r="AL6" i="11"/>
  <c r="AO5" i="5"/>
  <c r="AN7" i="9"/>
  <c r="AO5" i="25"/>
  <c r="AN5" i="10"/>
  <c r="AN7" i="8"/>
  <c r="AM5" i="12"/>
  <c r="AS5" i="34"/>
  <c r="AO5" i="36"/>
  <c r="AN5" i="31"/>
  <c r="AY7" i="30"/>
  <c r="AX72" i="6"/>
  <c r="AJ21" i="6"/>
  <c r="AJ22" i="6" s="1"/>
  <c r="AK19" i="6" s="1"/>
  <c r="AJ25" i="6"/>
  <c r="AJ26" i="6" s="1"/>
  <c r="AW51" i="6"/>
  <c r="AW94" i="6" s="1" a="1"/>
  <c r="AW94" i="6" s="1"/>
  <c r="AN8" i="9"/>
  <c r="AY8" i="30"/>
  <c r="AO6" i="36"/>
  <c r="AO6" i="5"/>
  <c r="AM6" i="12"/>
  <c r="AM39" i="12" s="1"/>
  <c r="AM51" i="12" s="1"/>
  <c r="AM62" i="12" s="1"/>
  <c r="AO6" i="25"/>
  <c r="AN8" i="8"/>
  <c r="AN6" i="10"/>
  <c r="H48" i="2" s="1"/>
  <c r="AL7" i="11"/>
  <c r="AS6" i="34"/>
  <c r="AN6" i="31"/>
  <c r="Z59" i="36"/>
  <c r="Z69" i="36"/>
  <c r="Z72" i="36" s="1"/>
  <c r="AA43" i="36"/>
  <c r="AA46" i="36" s="1"/>
  <c r="S29" i="9"/>
  <c r="R48" i="12"/>
  <c r="S41" i="12"/>
  <c r="S46" i="12" s="1"/>
  <c r="F16" i="10"/>
  <c r="AO44" i="6"/>
  <c r="AP41" i="6" s="1"/>
  <c r="AP43" i="6" s="1"/>
  <c r="AO47" i="6"/>
  <c r="AO48" i="6" s="1"/>
  <c r="Q39" i="30"/>
  <c r="Q41" i="30" s="1"/>
  <c r="L45" i="34"/>
  <c r="S40" i="30"/>
  <c r="S34" i="30"/>
  <c r="M31" i="34" s="1"/>
  <c r="Q36" i="30"/>
  <c r="U19" i="8" l="1"/>
  <c r="U18" i="8"/>
  <c r="AG89" i="6"/>
  <c r="AW41" i="30"/>
  <c r="AI32" i="6"/>
  <c r="AI33" i="6" s="1"/>
  <c r="AJ30" i="6" s="1"/>
  <c r="AI52" i="6"/>
  <c r="AI36" i="6"/>
  <c r="AI37" i="6" s="1"/>
  <c r="AI53" i="6" s="1"/>
  <c r="AI55" i="6" s="1"/>
  <c r="AW99" i="6" a="1"/>
  <c r="AW99" i="6" s="1"/>
  <c r="AW101" i="6" s="1"/>
  <c r="AM10" i="10" s="1"/>
  <c r="AH79" i="6" a="1"/>
  <c r="AH79" i="6" s="1"/>
  <c r="AH85" i="6" a="1"/>
  <c r="AH85" i="6" s="1"/>
  <c r="V9" i="10"/>
  <c r="V11" i="10" s="1"/>
  <c r="AF103" i="6"/>
  <c r="AX39" i="30"/>
  <c r="AX21" i="30"/>
  <c r="AQ9" i="34"/>
  <c r="AW36" i="30"/>
  <c r="AY30" i="30"/>
  <c r="AY29" i="30"/>
  <c r="AY32" i="30"/>
  <c r="AY33" i="30"/>
  <c r="AY31" i="30"/>
  <c r="AY10" i="30"/>
  <c r="AY18" i="30"/>
  <c r="AY28" i="30"/>
  <c r="AY20" i="30"/>
  <c r="AY19" i="30"/>
  <c r="AY16" i="30"/>
  <c r="AY17" i="30"/>
  <c r="AY25" i="30"/>
  <c r="AY23" i="30"/>
  <c r="AY14" i="30"/>
  <c r="AY26" i="30"/>
  <c r="AY15" i="30"/>
  <c r="AY27" i="30"/>
  <c r="AY12" i="30"/>
  <c r="AY24" i="30"/>
  <c r="AY13" i="30"/>
  <c r="AY11" i="30"/>
  <c r="AS32" i="34"/>
  <c r="AS40" i="34"/>
  <c r="AS35" i="34"/>
  <c r="AS43" i="34"/>
  <c r="AS37" i="34"/>
  <c r="AS41" i="34"/>
  <c r="AS34" i="34"/>
  <c r="AS38" i="34"/>
  <c r="AS39" i="34"/>
  <c r="AS42" i="34"/>
  <c r="AS33" i="34"/>
  <c r="AS44" i="34"/>
  <c r="AS36" i="34"/>
  <c r="AX40" i="30"/>
  <c r="AX34" i="30"/>
  <c r="AR31" i="34" s="1"/>
  <c r="AR45" i="34" s="1"/>
  <c r="AM16" i="10" s="1"/>
  <c r="AK21" i="6"/>
  <c r="AK22" i="6" s="1"/>
  <c r="AL19" i="6" s="1"/>
  <c r="AK25" i="6"/>
  <c r="AK26" i="6" s="1"/>
  <c r="AX51" i="6"/>
  <c r="AX94" i="6" s="1" a="1"/>
  <c r="AX94" i="6" s="1"/>
  <c r="I88" i="2"/>
  <c r="H94" i="2"/>
  <c r="I76" i="2"/>
  <c r="G88" i="2"/>
  <c r="H88" i="2"/>
  <c r="I90" i="2"/>
  <c r="I80" i="2"/>
  <c r="I92" i="2"/>
  <c r="G89" i="2"/>
  <c r="C21" i="15" s="1"/>
  <c r="H76" i="2"/>
  <c r="I89" i="2"/>
  <c r="E21" i="15" s="1"/>
  <c r="I94" i="2"/>
  <c r="H90" i="2"/>
  <c r="G92" i="2"/>
  <c r="H92" i="2"/>
  <c r="H80" i="2"/>
  <c r="H89" i="2"/>
  <c r="D21" i="15" s="1"/>
  <c r="G76" i="2"/>
  <c r="G80" i="2"/>
  <c r="H64" i="2"/>
  <c r="G64" i="2"/>
  <c r="I51" i="2"/>
  <c r="I64" i="2"/>
  <c r="G52" i="2"/>
  <c r="H42" i="2"/>
  <c r="I52" i="2"/>
  <c r="H52" i="2"/>
  <c r="H51" i="2"/>
  <c r="G51" i="2"/>
  <c r="AV101" i="6"/>
  <c r="AL10" i="10" s="1"/>
  <c r="AA56" i="36"/>
  <c r="T29" i="9"/>
  <c r="S48" i="12"/>
  <c r="T41" i="12"/>
  <c r="T46" i="12" s="1"/>
  <c r="G16" i="10"/>
  <c r="AP47" i="6"/>
  <c r="AP48" i="6" s="1"/>
  <c r="AP44" i="6"/>
  <c r="AQ41" i="6" s="1"/>
  <c r="AQ43" i="6" s="1"/>
  <c r="R39" i="30"/>
  <c r="R41" i="30" s="1"/>
  <c r="M9" i="34"/>
  <c r="M45" i="34"/>
  <c r="T34" i="30"/>
  <c r="N31" i="34" s="1"/>
  <c r="T40" i="30"/>
  <c r="W9" i="10" l="1"/>
  <c r="W11" i="10" s="1"/>
  <c r="AG103" i="6"/>
  <c r="AH89" i="6"/>
  <c r="V19" i="8"/>
  <c r="V18" i="8"/>
  <c r="AJ32" i="6"/>
  <c r="AJ33" i="6" s="1"/>
  <c r="AK30" i="6" s="1"/>
  <c r="AJ52" i="6"/>
  <c r="AJ36" i="6"/>
  <c r="AJ37" i="6" s="1"/>
  <c r="AJ53" i="6" s="1"/>
  <c r="AJ55" i="6" s="1"/>
  <c r="AX99" i="6" a="1"/>
  <c r="AX99" i="6" s="1"/>
  <c r="AX101" i="6" s="1"/>
  <c r="AN10" i="10" s="1"/>
  <c r="I42" i="2" s="1"/>
  <c r="AI79" i="6" a="1"/>
  <c r="AI79" i="6" s="1"/>
  <c r="AI85" i="6" a="1"/>
  <c r="AI85" i="6" s="1"/>
  <c r="AY34" i="30"/>
  <c r="AS31" i="34" s="1"/>
  <c r="AS45" i="34" s="1"/>
  <c r="AN16" i="10" s="1"/>
  <c r="I48" i="2" s="1"/>
  <c r="AY40" i="30"/>
  <c r="AY21" i="30"/>
  <c r="AY39" i="30"/>
  <c r="AR9" i="34"/>
  <c r="AX36" i="30"/>
  <c r="AX41" i="30"/>
  <c r="AL21" i="6"/>
  <c r="AL22" i="6"/>
  <c r="AM19" i="6" s="1"/>
  <c r="AL25" i="6"/>
  <c r="AL26" i="6" s="1"/>
  <c r="U29" i="9"/>
  <c r="U41" i="12"/>
  <c r="U46" i="12" s="1"/>
  <c r="T48" i="12"/>
  <c r="AA59" i="36"/>
  <c r="AA69" i="36"/>
  <c r="AA72" i="36" s="1"/>
  <c r="AB43" i="36"/>
  <c r="AB46" i="36" s="1"/>
  <c r="H16" i="10"/>
  <c r="AQ44" i="6"/>
  <c r="AR41" i="6" s="1"/>
  <c r="AR43" i="6" s="1"/>
  <c r="AQ47" i="6"/>
  <c r="AQ48" i="6" s="1"/>
  <c r="S39" i="30"/>
  <c r="S41" i="30" s="1"/>
  <c r="N9" i="34"/>
  <c r="L9" i="34"/>
  <c r="R36" i="30"/>
  <c r="U34" i="30"/>
  <c r="O31" i="34" s="1"/>
  <c r="O45" i="34" s="1"/>
  <c r="N45" i="34"/>
  <c r="U40" i="30"/>
  <c r="S36" i="30"/>
  <c r="W19" i="8" l="1"/>
  <c r="W18" i="8"/>
  <c r="AK32" i="6"/>
  <c r="AK36" i="6"/>
  <c r="AK37" i="6" s="1"/>
  <c r="AK53" i="6" s="1"/>
  <c r="AK55" i="6" s="1"/>
  <c r="AK33" i="6"/>
  <c r="AL30" i="6" s="1"/>
  <c r="AK52" i="6"/>
  <c r="AY41" i="30"/>
  <c r="AJ85" i="6" a="1"/>
  <c r="AJ85" i="6" s="1"/>
  <c r="AJ79" i="6" a="1"/>
  <c r="AJ79" i="6" s="1"/>
  <c r="AI89" i="6"/>
  <c r="AH103" i="6"/>
  <c r="X9" i="10"/>
  <c r="X11" i="10" s="1"/>
  <c r="AY36" i="30"/>
  <c r="AS9" i="34"/>
  <c r="AM21" i="6"/>
  <c r="AM22" i="6" s="1"/>
  <c r="AN19" i="6" s="1"/>
  <c r="AM25" i="6"/>
  <c r="AM26" i="6" s="1"/>
  <c r="V29" i="9"/>
  <c r="V41" i="12"/>
  <c r="V46" i="12" s="1"/>
  <c r="U48" i="12"/>
  <c r="AB56" i="36"/>
  <c r="I16" i="10"/>
  <c r="J16" i="10"/>
  <c r="AR44" i="6"/>
  <c r="AS41" i="6" s="1"/>
  <c r="AS43" i="6" s="1"/>
  <c r="AR47" i="6"/>
  <c r="AR48" i="6" s="1"/>
  <c r="T39" i="30"/>
  <c r="T41" i="30" s="1"/>
  <c r="V34" i="30"/>
  <c r="P31" i="34" s="1"/>
  <c r="V40" i="30"/>
  <c r="T36" i="30"/>
  <c r="E52" i="8"/>
  <c r="E51" i="8"/>
  <c r="AJ89" i="6" l="1"/>
  <c r="Z9" i="10" s="1"/>
  <c r="Z11" i="10" s="1"/>
  <c r="AI103" i="6"/>
  <c r="Y9" i="10"/>
  <c r="Y11" i="10" s="1"/>
  <c r="AJ103" i="6"/>
  <c r="Z19" i="8" s="1"/>
  <c r="AL32" i="6"/>
  <c r="AL33" i="6" s="1"/>
  <c r="AM30" i="6" s="1"/>
  <c r="AL36" i="6"/>
  <c r="AL37" i="6" s="1"/>
  <c r="AL53" i="6" s="1"/>
  <c r="AL55" i="6" s="1"/>
  <c r="AL52" i="6"/>
  <c r="AK85" i="6" a="1"/>
  <c r="AK85" i="6" s="1"/>
  <c r="AK79" i="6" a="1"/>
  <c r="AK79" i="6" s="1"/>
  <c r="X18" i="8"/>
  <c r="X19" i="8"/>
  <c r="AN21" i="6"/>
  <c r="AN22" i="6" s="1"/>
  <c r="AO19" i="6" s="1"/>
  <c r="AN25" i="6"/>
  <c r="AN26" i="6" s="1"/>
  <c r="AB59" i="36"/>
  <c r="AB69" i="36"/>
  <c r="AB72" i="36" s="1"/>
  <c r="AC43" i="36"/>
  <c r="AC46" i="36" s="1"/>
  <c r="W29" i="9"/>
  <c r="V48" i="12"/>
  <c r="W41" i="12"/>
  <c r="W46" i="12" s="1"/>
  <c r="Z18" i="8"/>
  <c r="AS44" i="6"/>
  <c r="AT41" i="6" s="1"/>
  <c r="AT43" i="6" s="1"/>
  <c r="AS47" i="6"/>
  <c r="AS48" i="6" s="1"/>
  <c r="E56" i="8"/>
  <c r="U39" i="30"/>
  <c r="U41" i="30" s="1"/>
  <c r="W34" i="30"/>
  <c r="Q31" i="34" s="1"/>
  <c r="Q45" i="34" s="1"/>
  <c r="W40" i="30"/>
  <c r="P45" i="34"/>
  <c r="AL85" i="6" l="1" a="1"/>
  <c r="AL85" i="6" s="1"/>
  <c r="AL79" i="6" a="1"/>
  <c r="AL79" i="6" s="1"/>
  <c r="AL89" i="6" s="1"/>
  <c r="AL103" i="6" s="1"/>
  <c r="AM32" i="6"/>
  <c r="AM36" i="6"/>
  <c r="AM37" i="6" s="1"/>
  <c r="AM53" i="6" s="1"/>
  <c r="AM55" i="6" s="1"/>
  <c r="AM33" i="6"/>
  <c r="AN30" i="6" s="1"/>
  <c r="AM52" i="6"/>
  <c r="AK89" i="6"/>
  <c r="Y18" i="8"/>
  <c r="Y19" i="8"/>
  <c r="AO21" i="6"/>
  <c r="AO22" i="6" s="1"/>
  <c r="AP19" i="6" s="1"/>
  <c r="AO25" i="6"/>
  <c r="AO26" i="6" s="1"/>
  <c r="X29" i="9"/>
  <c r="X41" i="12"/>
  <c r="X46" i="12" s="1"/>
  <c r="W48" i="12"/>
  <c r="AC56" i="36"/>
  <c r="K16" i="10"/>
  <c r="L16" i="10"/>
  <c r="AT47" i="6"/>
  <c r="AT48" i="6" s="1"/>
  <c r="AT44" i="6"/>
  <c r="AU41" i="6" s="1"/>
  <c r="AU43" i="6" s="1"/>
  <c r="V39" i="30"/>
  <c r="V41" i="30" s="1"/>
  <c r="X34" i="30"/>
  <c r="R31" i="34" s="1"/>
  <c r="R45" i="34" s="1"/>
  <c r="O9" i="34"/>
  <c r="U36" i="30"/>
  <c r="X40" i="30"/>
  <c r="AB9" i="10" l="1"/>
  <c r="AB11" i="10" s="1"/>
  <c r="AN32" i="6"/>
  <c r="AN36" i="6"/>
  <c r="AN37" i="6" s="1"/>
  <c r="AN53" i="6" s="1"/>
  <c r="AN55" i="6" s="1"/>
  <c r="AN33" i="6"/>
  <c r="AO30" i="6" s="1"/>
  <c r="AN52" i="6"/>
  <c r="AK103" i="6"/>
  <c r="AA9" i="10"/>
  <c r="AA11" i="10" s="1"/>
  <c r="AM85" i="6" a="1"/>
  <c r="AM85" i="6" s="1"/>
  <c r="AM79" i="6" a="1"/>
  <c r="AM79" i="6" s="1"/>
  <c r="AP21" i="6"/>
  <c r="AP22" i="6" s="1"/>
  <c r="AQ19" i="6" s="1"/>
  <c r="AP25" i="6"/>
  <c r="AP26" i="6" s="1"/>
  <c r="Y29" i="9"/>
  <c r="X48" i="12"/>
  <c r="Y41" i="12"/>
  <c r="Y46" i="12" s="1"/>
  <c r="AC59" i="36"/>
  <c r="AC69" i="36"/>
  <c r="AC72" i="36" s="1"/>
  <c r="AD43" i="36"/>
  <c r="AD46" i="36" s="1"/>
  <c r="M16" i="10"/>
  <c r="AB18" i="8"/>
  <c r="AB19" i="8"/>
  <c r="AU47" i="6"/>
  <c r="AU48" i="6" s="1"/>
  <c r="AU44" i="6"/>
  <c r="AV41" i="6" s="1"/>
  <c r="AV43" i="6" s="1"/>
  <c r="Y40" i="30"/>
  <c r="W39" i="30"/>
  <c r="W41" i="30" s="1"/>
  <c r="P9" i="34"/>
  <c r="V36" i="30"/>
  <c r="Y34" i="30"/>
  <c r="S31" i="34" s="1"/>
  <c r="S45" i="34" s="1"/>
  <c r="C35" i="10"/>
  <c r="B11" i="29"/>
  <c r="B9" i="29"/>
  <c r="AM89" i="6" l="1"/>
  <c r="AO32" i="6"/>
  <c r="AO36" i="6"/>
  <c r="AO37" i="6" s="1"/>
  <c r="AO53" i="6" s="1"/>
  <c r="AO55" i="6" s="1"/>
  <c r="AO33" i="6"/>
  <c r="AP30" i="6" s="1"/>
  <c r="AO52" i="6"/>
  <c r="AA18" i="8"/>
  <c r="AA19" i="8"/>
  <c r="AN79" i="6" a="1"/>
  <c r="AN79" i="6" s="1"/>
  <c r="AN85" i="6" a="1"/>
  <c r="AN85" i="6" s="1"/>
  <c r="AQ21" i="6"/>
  <c r="AQ22" i="6" s="1"/>
  <c r="AR19" i="6" s="1"/>
  <c r="AQ25" i="6"/>
  <c r="AQ26" i="6" s="1"/>
  <c r="AD56" i="36"/>
  <c r="Z29" i="9"/>
  <c r="Y48" i="12"/>
  <c r="Z41" i="12"/>
  <c r="Z46" i="12" s="1"/>
  <c r="N16" i="10"/>
  <c r="AV47" i="6"/>
  <c r="AV48" i="6" s="1"/>
  <c r="AV44" i="6"/>
  <c r="AW41" i="6" s="1"/>
  <c r="AW43" i="6" s="1"/>
  <c r="X39" i="30"/>
  <c r="X41" i="30" s="1"/>
  <c r="Q9" i="34"/>
  <c r="W36" i="30"/>
  <c r="Z40" i="30"/>
  <c r="Z34" i="30"/>
  <c r="T31" i="34" s="1"/>
  <c r="T45" i="34" s="1"/>
  <c r="AA34" i="30"/>
  <c r="U31" i="34" s="1"/>
  <c r="F28" i="11"/>
  <c r="G28" i="11"/>
  <c r="C28" i="11"/>
  <c r="G94" i="2" s="1"/>
  <c r="AN89" i="6" l="1"/>
  <c r="AN103" i="6" s="1"/>
  <c r="AD9" i="10"/>
  <c r="AD11" i="10" s="1"/>
  <c r="AO85" i="6" a="1"/>
  <c r="AO85" i="6" s="1"/>
  <c r="AO79" i="6" a="1"/>
  <c r="AO79" i="6" s="1"/>
  <c r="AO89" i="6" s="1"/>
  <c r="AO103" i="6" s="1"/>
  <c r="AP32" i="6"/>
  <c r="AP33" i="6" s="1"/>
  <c r="AQ30" i="6" s="1"/>
  <c r="AP52" i="6"/>
  <c r="AP36" i="6"/>
  <c r="AP37" i="6" s="1"/>
  <c r="AP53" i="6" s="1"/>
  <c r="AP55" i="6" s="1"/>
  <c r="AM103" i="6"/>
  <c r="AC9" i="10"/>
  <c r="AC11" i="10" s="1"/>
  <c r="AR21" i="6"/>
  <c r="AR22" i="6" s="1"/>
  <c r="AS19" i="6" s="1"/>
  <c r="AR25" i="6"/>
  <c r="AR26" i="6" s="1"/>
  <c r="AA29" i="9"/>
  <c r="Z48" i="12"/>
  <c r="AA41" i="12"/>
  <c r="AA46" i="12" s="1"/>
  <c r="AD59" i="36"/>
  <c r="AD69" i="36"/>
  <c r="AD72" i="36" s="1"/>
  <c r="AE43" i="36"/>
  <c r="AE46" i="36" s="1"/>
  <c r="O16" i="10"/>
  <c r="AE11" i="25"/>
  <c r="AD18" i="8"/>
  <c r="AD19" i="8"/>
  <c r="AW44" i="6"/>
  <c r="AX41" i="6" s="1"/>
  <c r="AX43" i="6" s="1"/>
  <c r="AW47" i="6"/>
  <c r="AW48" i="6" s="1"/>
  <c r="Y39" i="30"/>
  <c r="Y41" i="30" s="1"/>
  <c r="R9" i="34"/>
  <c r="X36" i="30"/>
  <c r="AA40" i="30"/>
  <c r="U45" i="34"/>
  <c r="F20" i="10"/>
  <c r="G20" i="10"/>
  <c r="H20" i="10"/>
  <c r="I20" i="10"/>
  <c r="G19" i="10"/>
  <c r="H19" i="10"/>
  <c r="I19" i="10"/>
  <c r="C9" i="25"/>
  <c r="E10" i="25"/>
  <c r="C11" i="25"/>
  <c r="E11" i="25" s="1"/>
  <c r="D22" i="10"/>
  <c r="D21" i="10"/>
  <c r="D20" i="10"/>
  <c r="D19" i="10"/>
  <c r="C20" i="10"/>
  <c r="C21" i="10"/>
  <c r="C22" i="10"/>
  <c r="C19" i="10"/>
  <c r="C80" i="2"/>
  <c r="C79" i="2"/>
  <c r="C78" i="2"/>
  <c r="C95" i="2"/>
  <c r="C90" i="2"/>
  <c r="C55" i="2"/>
  <c r="E55" i="2" s="1"/>
  <c r="AE9" i="10" l="1"/>
  <c r="AP85" i="6" a="1"/>
  <c r="AP85" i="6" s="1"/>
  <c r="AP79" i="6" a="1"/>
  <c r="AP79" i="6" s="1"/>
  <c r="AP89" i="6" s="1"/>
  <c r="AQ32" i="6"/>
  <c r="AQ36" i="6"/>
  <c r="AQ37" i="6" s="1"/>
  <c r="AQ53" i="6" s="1"/>
  <c r="AQ55" i="6" s="1"/>
  <c r="AQ52" i="6"/>
  <c r="AQ33" i="6"/>
  <c r="AR30" i="6" s="1"/>
  <c r="AC18" i="8"/>
  <c r="AC19" i="8"/>
  <c r="AS21" i="6"/>
  <c r="AS22" i="6" s="1"/>
  <c r="AT19" i="6" s="1"/>
  <c r="AS25" i="6"/>
  <c r="AS26" i="6" s="1"/>
  <c r="C12" i="25"/>
  <c r="AE56" i="36"/>
  <c r="AB29" i="9"/>
  <c r="H27" i="2" s="1"/>
  <c r="AB41" i="12"/>
  <c r="AB46" i="12" s="1"/>
  <c r="AA48" i="12"/>
  <c r="R11" i="25"/>
  <c r="S11" i="25"/>
  <c r="T11" i="25"/>
  <c r="U11" i="25"/>
  <c r="V11" i="25"/>
  <c r="W11" i="25"/>
  <c r="X11" i="25"/>
  <c r="Y11" i="25"/>
  <c r="Z11" i="25"/>
  <c r="AA11" i="25"/>
  <c r="AB11" i="25"/>
  <c r="AC11" i="25"/>
  <c r="AD11" i="25"/>
  <c r="AE11" i="10"/>
  <c r="AB13" i="11"/>
  <c r="AD22" i="10"/>
  <c r="AE19" i="8"/>
  <c r="AE18" i="8"/>
  <c r="AF11" i="25"/>
  <c r="AP103" i="6"/>
  <c r="AF9" i="10"/>
  <c r="AF11" i="10" s="1"/>
  <c r="AX44" i="6"/>
  <c r="AX47" i="6"/>
  <c r="AX48" i="6" s="1"/>
  <c r="Z39" i="30"/>
  <c r="Z41" i="30" s="1"/>
  <c r="S9" i="34"/>
  <c r="Y36" i="30"/>
  <c r="P16" i="10"/>
  <c r="C23" i="10"/>
  <c r="D23" i="10"/>
  <c r="D35" i="10"/>
  <c r="D25" i="9"/>
  <c r="D24" i="9"/>
  <c r="D23" i="9"/>
  <c r="D29" i="9"/>
  <c r="C29" i="9"/>
  <c r="D28" i="9"/>
  <c r="C28" i="9"/>
  <c r="D13" i="9"/>
  <c r="C11" i="9"/>
  <c r="C12" i="9"/>
  <c r="C8" i="2"/>
  <c r="D98" i="2" s="1"/>
  <c r="C11" i="2"/>
  <c r="E11" i="2" s="1"/>
  <c r="D18" i="9"/>
  <c r="C16" i="2"/>
  <c r="E16" i="2" s="1"/>
  <c r="AR32" i="6" l="1"/>
  <c r="AR33" i="6" s="1"/>
  <c r="AS30" i="6" s="1"/>
  <c r="AR36" i="6"/>
  <c r="AR37" i="6" s="1"/>
  <c r="AR53" i="6" s="1"/>
  <c r="AR55" i="6" s="1"/>
  <c r="AR52" i="6"/>
  <c r="AQ79" i="6" a="1"/>
  <c r="AQ79" i="6" s="1"/>
  <c r="AQ85" i="6" a="1"/>
  <c r="AQ85" i="6" s="1"/>
  <c r="AT21" i="6"/>
  <c r="AT22" i="6" s="1"/>
  <c r="AU19" i="6" s="1"/>
  <c r="AT25" i="6"/>
  <c r="AT26" i="6" s="1"/>
  <c r="Y22" i="10"/>
  <c r="W13" i="11"/>
  <c r="O13" i="11"/>
  <c r="Q22" i="10"/>
  <c r="V13" i="11"/>
  <c r="X22" i="10"/>
  <c r="AC29" i="9"/>
  <c r="AC41" i="12"/>
  <c r="AC46" i="12" s="1"/>
  <c r="AB48" i="12"/>
  <c r="AA13" i="11"/>
  <c r="AC22" i="10"/>
  <c r="S13" i="11"/>
  <c r="U22" i="10"/>
  <c r="U13" i="11"/>
  <c r="W22" i="10"/>
  <c r="T13" i="11"/>
  <c r="V22" i="10"/>
  <c r="T22" i="10"/>
  <c r="R13" i="11"/>
  <c r="AE59" i="36"/>
  <c r="AE69" i="36"/>
  <c r="AE72" i="36" s="1"/>
  <c r="AF43" i="36"/>
  <c r="AF46" i="36" s="1"/>
  <c r="AB22" i="10"/>
  <c r="Z13" i="11"/>
  <c r="AA22" i="10"/>
  <c r="Y13" i="11"/>
  <c r="Q13" i="11"/>
  <c r="S22" i="10"/>
  <c r="Z22" i="10"/>
  <c r="X13" i="11"/>
  <c r="P13" i="11"/>
  <c r="R22" i="10"/>
  <c r="G48" i="2"/>
  <c r="AG11" i="25"/>
  <c r="AF19" i="8"/>
  <c r="AF18" i="8"/>
  <c r="AE22" i="10"/>
  <c r="AC13" i="11"/>
  <c r="E18" i="9"/>
  <c r="F18" i="9" s="1"/>
  <c r="G18" i="9" s="1"/>
  <c r="H18" i="9" s="1"/>
  <c r="I18" i="9" s="1"/>
  <c r="T9" i="34"/>
  <c r="Z36" i="30"/>
  <c r="AA39" i="30"/>
  <c r="AA41" i="30" s="1"/>
  <c r="C10" i="9"/>
  <c r="C12" i="2"/>
  <c r="D81" i="2"/>
  <c r="C25" i="8"/>
  <c r="C13" i="9"/>
  <c r="C18" i="9"/>
  <c r="C30" i="9"/>
  <c r="D30" i="9"/>
  <c r="D26" i="9"/>
  <c r="C28" i="2"/>
  <c r="E28" i="2" s="1"/>
  <c r="AR79" i="6" l="1" a="1"/>
  <c r="AR79" i="6" s="1"/>
  <c r="AR85" i="6" a="1"/>
  <c r="AR85" i="6" s="1"/>
  <c r="AQ89" i="6"/>
  <c r="AS32" i="6"/>
  <c r="AS33" i="6" s="1"/>
  <c r="AT30" i="6" s="1"/>
  <c r="AS36" i="6"/>
  <c r="AS37" i="6" s="1"/>
  <c r="AS53" i="6" s="1"/>
  <c r="AS55" i="6" s="1"/>
  <c r="AS52" i="6"/>
  <c r="AU21" i="6"/>
  <c r="AU22" i="6" s="1"/>
  <c r="AV19" i="6" s="1"/>
  <c r="AU25" i="6"/>
  <c r="AU26" i="6" s="1"/>
  <c r="AD29" i="9"/>
  <c r="AD41" i="12"/>
  <c r="AD46" i="12" s="1"/>
  <c r="AC48" i="12"/>
  <c r="AF56" i="36"/>
  <c r="AF22" i="10"/>
  <c r="AD13" i="11"/>
  <c r="J18" i="9"/>
  <c r="K18" i="9" s="1"/>
  <c r="L18" i="9" s="1"/>
  <c r="M18" i="9" s="1"/>
  <c r="N18" i="9" s="1"/>
  <c r="O18" i="9" s="1"/>
  <c r="P18" i="9" s="1"/>
  <c r="D55" i="4"/>
  <c r="C14" i="9"/>
  <c r="U9" i="34"/>
  <c r="AA36" i="30"/>
  <c r="AT32" i="6" l="1"/>
  <c r="AT33" i="6" s="1"/>
  <c r="AU30" i="6" s="1"/>
  <c r="AT52" i="6"/>
  <c r="AT36" i="6"/>
  <c r="AT37" i="6" s="1"/>
  <c r="AT53" i="6" s="1"/>
  <c r="AT55" i="6" s="1"/>
  <c r="AQ103" i="6"/>
  <c r="AG9" i="10"/>
  <c r="AG11" i="10" s="1"/>
  <c r="AS85" i="6" a="1"/>
  <c r="AS85" i="6" s="1"/>
  <c r="AS79" i="6" a="1"/>
  <c r="AS79" i="6" s="1"/>
  <c r="AS89" i="6" s="1"/>
  <c r="AS103" i="6" s="1"/>
  <c r="AR89" i="6"/>
  <c r="AV21" i="6"/>
  <c r="AV22" i="6" s="1"/>
  <c r="AW19" i="6" s="1"/>
  <c r="AV25" i="6"/>
  <c r="AV26" i="6" s="1"/>
  <c r="AF59" i="36"/>
  <c r="AF69" i="36"/>
  <c r="AF72" i="36" s="1"/>
  <c r="AG43" i="36"/>
  <c r="AG46" i="36" s="1"/>
  <c r="AE29" i="9"/>
  <c r="AD48" i="12"/>
  <c r="AE41" i="12"/>
  <c r="AE46" i="12" s="1"/>
  <c r="G16" i="2"/>
  <c r="Q18" i="9"/>
  <c r="N15" i="24"/>
  <c r="F15" i="24"/>
  <c r="M15" i="24" s="1"/>
  <c r="N14" i="24"/>
  <c r="F14" i="24"/>
  <c r="M14" i="24" s="1"/>
  <c r="N13" i="24"/>
  <c r="F13" i="24"/>
  <c r="M13" i="24" s="1"/>
  <c r="N12" i="24"/>
  <c r="F12" i="24"/>
  <c r="L12" i="24" s="1"/>
  <c r="N11" i="24"/>
  <c r="F11" i="24"/>
  <c r="M11" i="24" s="1"/>
  <c r="N10" i="24"/>
  <c r="F10" i="24"/>
  <c r="L10" i="24" s="1"/>
  <c r="N9" i="24"/>
  <c r="F9" i="24"/>
  <c r="M9" i="24" s="1"/>
  <c r="N8" i="24"/>
  <c r="F8" i="24"/>
  <c r="M8" i="24" s="1"/>
  <c r="N7" i="24"/>
  <c r="F7" i="24"/>
  <c r="M7" i="24" s="1"/>
  <c r="F6" i="24"/>
  <c r="AI9" i="10" l="1"/>
  <c r="AI11" i="10" s="1"/>
  <c r="AH11" i="25"/>
  <c r="AG19" i="8"/>
  <c r="AG18" i="8"/>
  <c r="AU32" i="6"/>
  <c r="AU33" i="6" s="1"/>
  <c r="AV30" i="6" s="1"/>
  <c r="AU52" i="6"/>
  <c r="AU36" i="6"/>
  <c r="AU37" i="6" s="1"/>
  <c r="AU53" i="6" s="1"/>
  <c r="AU55" i="6" s="1"/>
  <c r="AT85" i="6" a="1"/>
  <c r="AT85" i="6" s="1"/>
  <c r="AT79" i="6" a="1"/>
  <c r="AT79" i="6" s="1"/>
  <c r="AR103" i="6"/>
  <c r="AH9" i="10"/>
  <c r="AH11" i="10" s="1"/>
  <c r="AW21" i="6"/>
  <c r="AW22" i="6" s="1"/>
  <c r="AX19" i="6" s="1"/>
  <c r="AW25" i="6"/>
  <c r="AW26" i="6" s="1"/>
  <c r="AF29" i="9"/>
  <c r="AE48" i="12"/>
  <c r="AF41" i="12"/>
  <c r="AF46" i="12" s="1"/>
  <c r="AG56" i="36"/>
  <c r="R18" i="9"/>
  <c r="N18" i="24"/>
  <c r="AJ11" i="25"/>
  <c r="AI18" i="8"/>
  <c r="AI19" i="8"/>
  <c r="M12" i="24"/>
  <c r="N29" i="24"/>
  <c r="N27" i="24" s="1"/>
  <c r="M18" i="24"/>
  <c r="M10" i="24"/>
  <c r="M17" i="24" s="1"/>
  <c r="L8" i="24"/>
  <c r="L14" i="24"/>
  <c r="L7" i="24"/>
  <c r="L9" i="24"/>
  <c r="L11" i="24"/>
  <c r="L13" i="24"/>
  <c r="L15" i="24"/>
  <c r="AV32" i="6" l="1"/>
  <c r="AV33" i="6" s="1"/>
  <c r="AW30" i="6" s="1"/>
  <c r="AV36" i="6"/>
  <c r="AV37" i="6" s="1"/>
  <c r="AV53" i="6" s="1"/>
  <c r="AV55" i="6" s="1"/>
  <c r="AV52" i="6"/>
  <c r="AU79" i="6" a="1"/>
  <c r="AU79" i="6" s="1"/>
  <c r="AU85" i="6" a="1"/>
  <c r="AU85" i="6" s="1"/>
  <c r="AH18" i="8"/>
  <c r="AI11" i="25"/>
  <c r="AH19" i="8"/>
  <c r="AT89" i="6"/>
  <c r="AG22" i="10"/>
  <c r="AE13" i="11"/>
  <c r="AX21" i="6"/>
  <c r="AX22" i="6" s="1"/>
  <c r="AX25" i="6"/>
  <c r="AX26" i="6" s="1"/>
  <c r="AG59" i="36"/>
  <c r="AG69" i="36"/>
  <c r="AG72" i="36" s="1"/>
  <c r="AH43" i="36"/>
  <c r="AH46" i="36" s="1"/>
  <c r="AG29" i="9"/>
  <c r="AF48" i="12"/>
  <c r="AG41" i="12"/>
  <c r="AG46" i="12" s="1"/>
  <c r="S18" i="9"/>
  <c r="AG13" i="11"/>
  <c r="AI22" i="10"/>
  <c r="M22" i="24"/>
  <c r="M20" i="24"/>
  <c r="M29" i="24" s="1"/>
  <c r="M27" i="24" s="1"/>
  <c r="M21" i="24"/>
  <c r="L22" i="24"/>
  <c r="L18" i="24"/>
  <c r="L17" i="24"/>
  <c r="L19" i="24"/>
  <c r="L20" i="24"/>
  <c r="L21" i="24"/>
  <c r="AH22" i="10" l="1"/>
  <c r="AF13" i="11"/>
  <c r="AU89" i="6"/>
  <c r="AV79" i="6" a="1"/>
  <c r="AV79" i="6" s="1"/>
  <c r="AV85" i="6" a="1"/>
  <c r="AV85" i="6" s="1"/>
  <c r="AW32" i="6"/>
  <c r="AW33" i="6" s="1"/>
  <c r="AX30" i="6" s="1"/>
  <c r="AW36" i="6"/>
  <c r="AW37" i="6" s="1"/>
  <c r="AW53" i="6" s="1"/>
  <c r="AW55" i="6" s="1"/>
  <c r="AW52" i="6"/>
  <c r="AJ9" i="10"/>
  <c r="AJ11" i="10" s="1"/>
  <c r="AT103" i="6"/>
  <c r="AH29" i="9"/>
  <c r="AG48" i="12"/>
  <c r="AH41" i="12"/>
  <c r="AH46" i="12" s="1"/>
  <c r="AH56" i="36"/>
  <c r="T18" i="9"/>
  <c r="E28" i="19"/>
  <c r="D28" i="19"/>
  <c r="AV89" i="6" l="1"/>
  <c r="AV103" i="6" s="1"/>
  <c r="AX32" i="6"/>
  <c r="AX52" i="6"/>
  <c r="AX33" i="6"/>
  <c r="AX36" i="6"/>
  <c r="AX37" i="6" s="1"/>
  <c r="AX53" i="6" s="1"/>
  <c r="AX55" i="6" s="1"/>
  <c r="AJ19" i="8"/>
  <c r="AJ18" i="8"/>
  <c r="AK11" i="25"/>
  <c r="AL9" i="10"/>
  <c r="AL11" i="10" s="1"/>
  <c r="AU103" i="6"/>
  <c r="AK9" i="10"/>
  <c r="AK11" i="10" s="1"/>
  <c r="AW85" i="6" a="1"/>
  <c r="AW85" i="6" s="1"/>
  <c r="AW79" i="6" a="1"/>
  <c r="AW79" i="6" s="1"/>
  <c r="AH59" i="36"/>
  <c r="AH69" i="36"/>
  <c r="AH72" i="36" s="1"/>
  <c r="AI43" i="36"/>
  <c r="AI46" i="36" s="1"/>
  <c r="AI29" i="9"/>
  <c r="AH48" i="12"/>
  <c r="AI41" i="12"/>
  <c r="AI46" i="12" s="1"/>
  <c r="U18" i="9"/>
  <c r="AL18" i="8"/>
  <c r="AM11" i="25"/>
  <c r="AL19" i="8"/>
  <c r="E25" i="19"/>
  <c r="D25" i="19"/>
  <c r="AW89" i="6" l="1"/>
  <c r="AX85" i="6" a="1"/>
  <c r="AX85" i="6" s="1"/>
  <c r="AX79" i="6" a="1"/>
  <c r="AX79" i="6" s="1"/>
  <c r="AX89" i="6" s="1"/>
  <c r="AX103" i="6" s="1"/>
  <c r="AH13" i="11"/>
  <c r="AJ22" i="10"/>
  <c r="AK18" i="8"/>
  <c r="AL11" i="25"/>
  <c r="AK19" i="8"/>
  <c r="AJ29" i="9"/>
  <c r="AI48" i="12"/>
  <c r="AJ41" i="12"/>
  <c r="AJ46" i="12" s="1"/>
  <c r="AI56" i="36"/>
  <c r="V18" i="9"/>
  <c r="AJ13" i="11"/>
  <c r="AL22" i="10"/>
  <c r="I62" i="6"/>
  <c r="P62" i="6" s="1"/>
  <c r="Q62" i="6" s="1"/>
  <c r="R62" i="6" s="1"/>
  <c r="S62" i="6" s="1"/>
  <c r="T62" i="6" s="1"/>
  <c r="U62" i="6" s="1"/>
  <c r="V62" i="6" s="1"/>
  <c r="W62" i="6" s="1"/>
  <c r="X62" i="6" s="1"/>
  <c r="Y62" i="6" s="1"/>
  <c r="Z62" i="6" s="1"/>
  <c r="AA62" i="6" s="1"/>
  <c r="AB62" i="6" s="1"/>
  <c r="AC62" i="6" s="1"/>
  <c r="AD62" i="6" s="1"/>
  <c r="AE62" i="6" s="1"/>
  <c r="AF62" i="6" s="1"/>
  <c r="AG62" i="6" s="1"/>
  <c r="AH62" i="6" s="1"/>
  <c r="AI62" i="6" s="1"/>
  <c r="AJ62" i="6" s="1"/>
  <c r="AK62" i="6" s="1"/>
  <c r="AL62" i="6" s="1"/>
  <c r="AM62" i="6" s="1"/>
  <c r="AN62" i="6" s="1"/>
  <c r="AO62" i="6" s="1"/>
  <c r="AP62" i="6" s="1"/>
  <c r="C64" i="2"/>
  <c r="E64" i="2" s="1"/>
  <c r="D49" i="4"/>
  <c r="D52" i="12" s="1"/>
  <c r="D54" i="12" s="1"/>
  <c r="E31" i="10" s="1"/>
  <c r="C63" i="2"/>
  <c r="E63" i="2" s="1"/>
  <c r="C59" i="2"/>
  <c r="E59" i="2" s="1"/>
  <c r="D15" i="10"/>
  <c r="C47" i="2"/>
  <c r="E47" i="2" s="1"/>
  <c r="C10" i="10"/>
  <c r="C40" i="2"/>
  <c r="E40" i="2" s="1"/>
  <c r="C23" i="2"/>
  <c r="E23" i="2" s="1"/>
  <c r="C22" i="2"/>
  <c r="E22" i="2" s="1"/>
  <c r="C21" i="2"/>
  <c r="E21" i="2" s="1"/>
  <c r="C30" i="2"/>
  <c r="C15" i="2"/>
  <c r="E15" i="2" s="1"/>
  <c r="C14" i="2"/>
  <c r="E14" i="2" s="1"/>
  <c r="C8" i="1"/>
  <c r="C7" i="1"/>
  <c r="AN9" i="10" l="1"/>
  <c r="AW103" i="6"/>
  <c r="AM9" i="10"/>
  <c r="AM11" i="10" s="1"/>
  <c r="AI13" i="11"/>
  <c r="AK22" i="10"/>
  <c r="AQ62" i="6"/>
  <c r="AR62" i="6" s="1"/>
  <c r="AS62" i="6" s="1"/>
  <c r="AT62" i="6" s="1"/>
  <c r="AU62" i="6" s="1"/>
  <c r="AV62" i="6" s="1"/>
  <c r="AW62" i="6" s="1"/>
  <c r="AX62" i="6" s="1"/>
  <c r="AK29" i="9"/>
  <c r="AK41" i="12"/>
  <c r="AK46" i="12" s="1"/>
  <c r="AJ48" i="12"/>
  <c r="AI59" i="36"/>
  <c r="AI69" i="36"/>
  <c r="AI72" i="36" s="1"/>
  <c r="AJ43" i="36"/>
  <c r="AJ46" i="36" s="1"/>
  <c r="AJ56" i="36"/>
  <c r="AN11" i="10"/>
  <c r="H41" i="2"/>
  <c r="I41" i="2"/>
  <c r="AL22" i="31"/>
  <c r="V22" i="31"/>
  <c r="AD22" i="31"/>
  <c r="Q22" i="31"/>
  <c r="Y22" i="31"/>
  <c r="AG22" i="31"/>
  <c r="Z22" i="31"/>
  <c r="AH22" i="31"/>
  <c r="T22" i="31"/>
  <c r="AM22" i="31"/>
  <c r="W22" i="31"/>
  <c r="AE22" i="31"/>
  <c r="AB22" i="31"/>
  <c r="AN22" i="31"/>
  <c r="X22" i="31"/>
  <c r="AF22" i="31"/>
  <c r="R22" i="31"/>
  <c r="S22" i="31"/>
  <c r="AA22" i="31"/>
  <c r="AI22" i="31"/>
  <c r="AJ22" i="31"/>
  <c r="AK22" i="31"/>
  <c r="U22" i="31"/>
  <c r="AC22" i="31"/>
  <c r="E22" i="31"/>
  <c r="W18" i="9"/>
  <c r="AN19" i="8"/>
  <c r="AO11" i="25"/>
  <c r="AN18" i="8"/>
  <c r="C32" i="10"/>
  <c r="C17" i="9"/>
  <c r="C27" i="10"/>
  <c r="C31" i="10"/>
  <c r="D93" i="2"/>
  <c r="D95" i="2" s="1"/>
  <c r="C15" i="10"/>
  <c r="C17" i="10" s="1"/>
  <c r="C32" i="9"/>
  <c r="D30" i="2"/>
  <c r="E30" i="2" s="1"/>
  <c r="D16" i="9"/>
  <c r="E9" i="36"/>
  <c r="C31" i="4"/>
  <c r="C10" i="8" s="1"/>
  <c r="C8" i="10"/>
  <c r="C17" i="8"/>
  <c r="C45" i="4"/>
  <c r="D19" i="8"/>
  <c r="D47" i="4"/>
  <c r="I14" i="22"/>
  <c r="R61" i="6"/>
  <c r="L22" i="31"/>
  <c r="O22" i="31"/>
  <c r="M22" i="31"/>
  <c r="K22" i="31"/>
  <c r="N22" i="31"/>
  <c r="P22" i="31"/>
  <c r="J22" i="31"/>
  <c r="I22" i="31"/>
  <c r="C22" i="31"/>
  <c r="F22" i="31"/>
  <c r="G22" i="31"/>
  <c r="D22" i="31"/>
  <c r="H22" i="31"/>
  <c r="C26" i="8"/>
  <c r="C14" i="8"/>
  <c r="D14" i="8"/>
  <c r="C13" i="8"/>
  <c r="D21" i="4"/>
  <c r="D28" i="8"/>
  <c r="C24" i="8"/>
  <c r="C21" i="4"/>
  <c r="C11" i="10"/>
  <c r="C77" i="2"/>
  <c r="C24" i="9"/>
  <c r="D32" i="10"/>
  <c r="D17" i="9"/>
  <c r="D16" i="10"/>
  <c r="D12" i="9"/>
  <c r="D83" i="2"/>
  <c r="D11" i="9"/>
  <c r="D27" i="10"/>
  <c r="C49" i="2"/>
  <c r="E49" i="2" s="1"/>
  <c r="C25" i="9"/>
  <c r="D85" i="2"/>
  <c r="D9" i="10"/>
  <c r="C23" i="9"/>
  <c r="D84" i="2"/>
  <c r="D10" i="10"/>
  <c r="D31" i="10"/>
  <c r="C17" i="2"/>
  <c r="E17" i="2" s="1"/>
  <c r="C16" i="9"/>
  <c r="I12" i="22"/>
  <c r="I11" i="22"/>
  <c r="J14" i="5"/>
  <c r="I14" i="5"/>
  <c r="H14" i="5"/>
  <c r="G14" i="5"/>
  <c r="AM18" i="8" l="1"/>
  <c r="AN11" i="25"/>
  <c r="AM19" i="8"/>
  <c r="AJ59" i="36"/>
  <c r="AK43" i="36"/>
  <c r="AK46" i="36" s="1"/>
  <c r="AK49" i="36" s="1"/>
  <c r="AJ69" i="36"/>
  <c r="AJ72" i="36" s="1"/>
  <c r="AK56" i="36"/>
  <c r="AJ49" i="36"/>
  <c r="Y41" i="36"/>
  <c r="Y49" i="36" s="1"/>
  <c r="AG41" i="36"/>
  <c r="AG49" i="36" s="1"/>
  <c r="AO41" i="36"/>
  <c r="R41" i="36"/>
  <c r="R49" i="36" s="1"/>
  <c r="Z41" i="36"/>
  <c r="Z49" i="36" s="1"/>
  <c r="AH41" i="36"/>
  <c r="AH49" i="36" s="1"/>
  <c r="S41" i="36"/>
  <c r="S49" i="36" s="1"/>
  <c r="AA41" i="36"/>
  <c r="AA49" i="36" s="1"/>
  <c r="AI41" i="36"/>
  <c r="AI49" i="36" s="1"/>
  <c r="U41" i="36"/>
  <c r="U49" i="36" s="1"/>
  <c r="AC41" i="36"/>
  <c r="AC49" i="36" s="1"/>
  <c r="AK41" i="36"/>
  <c r="T41" i="36"/>
  <c r="T49" i="36" s="1"/>
  <c r="AB41" i="36"/>
  <c r="AB49" i="36" s="1"/>
  <c r="AJ41" i="36"/>
  <c r="V41" i="36"/>
  <c r="V49" i="36" s="1"/>
  <c r="AD41" i="36"/>
  <c r="AD49" i="36" s="1"/>
  <c r="AL41" i="36"/>
  <c r="W41" i="36"/>
  <c r="W49" i="36" s="1"/>
  <c r="AE41" i="36"/>
  <c r="AE49" i="36" s="1"/>
  <c r="AM41" i="36"/>
  <c r="X41" i="36"/>
  <c r="X49" i="36" s="1"/>
  <c r="AF41" i="36"/>
  <c r="AF49" i="36" s="1"/>
  <c r="AN41" i="36"/>
  <c r="AL29" i="9"/>
  <c r="AK48" i="12"/>
  <c r="AL41" i="12"/>
  <c r="AL46" i="12" s="1"/>
  <c r="H43" i="2"/>
  <c r="I43" i="2"/>
  <c r="V14" i="8"/>
  <c r="AD14" i="8"/>
  <c r="AL14" i="8"/>
  <c r="Q14" i="8"/>
  <c r="AH14" i="8"/>
  <c r="W14" i="8"/>
  <c r="AE14" i="8"/>
  <c r="AM14" i="8"/>
  <c r="R14" i="8"/>
  <c r="X14" i="8"/>
  <c r="AF14" i="8"/>
  <c r="AN14" i="8"/>
  <c r="U14" i="8"/>
  <c r="AC14" i="8"/>
  <c r="AK14" i="8"/>
  <c r="Y14" i="8"/>
  <c r="AG14" i="8"/>
  <c r="Z14" i="8"/>
  <c r="S14" i="8"/>
  <c r="AA14" i="8"/>
  <c r="AI14" i="8"/>
  <c r="T14" i="8"/>
  <c r="AB14" i="8"/>
  <c r="AJ14" i="8"/>
  <c r="X18" i="9"/>
  <c r="AL13" i="11"/>
  <c r="AN22" i="10"/>
  <c r="C19" i="9"/>
  <c r="C21" i="9" s="1"/>
  <c r="D86" i="2"/>
  <c r="D32" i="2"/>
  <c r="O41" i="36"/>
  <c r="O49" i="36" s="1"/>
  <c r="K41" i="36"/>
  <c r="K49" i="36" s="1"/>
  <c r="I41" i="36"/>
  <c r="I49" i="36" s="1"/>
  <c r="H41" i="36"/>
  <c r="H49" i="36" s="1"/>
  <c r="J41" i="36"/>
  <c r="J49" i="36" s="1"/>
  <c r="F8" i="36"/>
  <c r="F9" i="36" s="1"/>
  <c r="F16" i="36" s="1"/>
  <c r="F28" i="36"/>
  <c r="F27" i="36"/>
  <c r="P41" i="36"/>
  <c r="P49" i="36" s="1"/>
  <c r="G41" i="36"/>
  <c r="G49" i="36" s="1"/>
  <c r="N41" i="36"/>
  <c r="N49" i="36" s="1"/>
  <c r="F41" i="36"/>
  <c r="F49" i="36" s="1"/>
  <c r="M41" i="36"/>
  <c r="M49" i="36" s="1"/>
  <c r="L41" i="36"/>
  <c r="L49" i="36" s="1"/>
  <c r="F54" i="36"/>
  <c r="Q41" i="36"/>
  <c r="Q49" i="36" s="1"/>
  <c r="Q63" i="6"/>
  <c r="Q67" i="6" s="1"/>
  <c r="D11" i="10"/>
  <c r="D13" i="10" s="1"/>
  <c r="E14" i="8"/>
  <c r="M14" i="8"/>
  <c r="N14" i="8"/>
  <c r="F14" i="8"/>
  <c r="O14" i="8"/>
  <c r="G14" i="8"/>
  <c r="H14" i="8"/>
  <c r="I14" i="8"/>
  <c r="L14" i="8"/>
  <c r="P14" i="8"/>
  <c r="J14" i="8"/>
  <c r="K14" i="8"/>
  <c r="C28" i="8"/>
  <c r="C30" i="8" s="1"/>
  <c r="S61" i="6"/>
  <c r="C13" i="10"/>
  <c r="C25" i="10" s="1"/>
  <c r="D30" i="8"/>
  <c r="I15" i="22"/>
  <c r="I13" i="22"/>
  <c r="C26" i="9"/>
  <c r="D19" i="9"/>
  <c r="D90" i="2"/>
  <c r="D17" i="10"/>
  <c r="AM22" i="10" l="1"/>
  <c r="AK13" i="11"/>
  <c r="I79" i="2" s="1"/>
  <c r="L14" i="34"/>
  <c r="L18" i="34"/>
  <c r="L12" i="34"/>
  <c r="L17" i="34"/>
  <c r="L10" i="34"/>
  <c r="L19" i="34"/>
  <c r="L16" i="34"/>
  <c r="L13" i="34"/>
  <c r="L15" i="34"/>
  <c r="L11" i="34"/>
  <c r="L21" i="34"/>
  <c r="L22" i="34"/>
  <c r="L20" i="34"/>
  <c r="AK59" i="36"/>
  <c r="AK69" i="36"/>
  <c r="AK72" i="36" s="1"/>
  <c r="AL43" i="36"/>
  <c r="AL46" i="36" s="1"/>
  <c r="AL49" i="36" s="1"/>
  <c r="AM29" i="9"/>
  <c r="AL48" i="12"/>
  <c r="AM41" i="12"/>
  <c r="AM46" i="12" s="1"/>
  <c r="H54" i="2"/>
  <c r="I54" i="2"/>
  <c r="H79" i="2"/>
  <c r="Y18" i="9"/>
  <c r="D97" i="2"/>
  <c r="D100" i="2" s="1"/>
  <c r="E8" i="2" s="1"/>
  <c r="G27" i="36"/>
  <c r="F40" i="36"/>
  <c r="G28" i="36"/>
  <c r="F67" i="36"/>
  <c r="F74" i="36" s="1"/>
  <c r="E16" i="9" s="1"/>
  <c r="F35" i="36"/>
  <c r="G54" i="36"/>
  <c r="F61" i="36"/>
  <c r="R63" i="6"/>
  <c r="R67" i="6" s="1"/>
  <c r="T61" i="6"/>
  <c r="S63" i="6"/>
  <c r="S67" i="6" s="1"/>
  <c r="C24" i="11"/>
  <c r="C34" i="9"/>
  <c r="C3" i="9" s="1"/>
  <c r="C29" i="10"/>
  <c r="C33" i="10" s="1"/>
  <c r="C37" i="10" s="1"/>
  <c r="D25" i="10"/>
  <c r="N17" i="34" l="1"/>
  <c r="N22" i="34"/>
  <c r="N15" i="34"/>
  <c r="N21" i="34"/>
  <c r="N11" i="34"/>
  <c r="N13" i="34"/>
  <c r="N14" i="34"/>
  <c r="N20" i="34"/>
  <c r="N18" i="34"/>
  <c r="N16" i="34"/>
  <c r="N10" i="34"/>
  <c r="N12" i="34"/>
  <c r="N19" i="34"/>
  <c r="M16" i="34"/>
  <c r="M14" i="34"/>
  <c r="M11" i="34"/>
  <c r="M13" i="34"/>
  <c r="M15" i="34"/>
  <c r="M19" i="34"/>
  <c r="M20" i="34"/>
  <c r="M18" i="34"/>
  <c r="M12" i="34"/>
  <c r="M17" i="34"/>
  <c r="M10" i="34"/>
  <c r="M22" i="34"/>
  <c r="M21" i="34"/>
  <c r="AL56" i="36"/>
  <c r="AL59" i="36" s="1"/>
  <c r="AN29" i="9"/>
  <c r="I27" i="2" s="1"/>
  <c r="AM48" i="12"/>
  <c r="Z18" i="9"/>
  <c r="D12" i="2"/>
  <c r="H54" i="36"/>
  <c r="G61" i="36"/>
  <c r="G67" i="36"/>
  <c r="G74" i="36" s="1"/>
  <c r="F16" i="9" s="1"/>
  <c r="H28" i="36"/>
  <c r="G35" i="36"/>
  <c r="F53" i="36"/>
  <c r="F66" i="36" s="1"/>
  <c r="H27" i="36"/>
  <c r="G40" i="36"/>
  <c r="U61" i="6"/>
  <c r="T63" i="6"/>
  <c r="T67" i="6" s="1"/>
  <c r="D29" i="10"/>
  <c r="D33" i="10" s="1"/>
  <c r="D37" i="10" s="1"/>
  <c r="I5" i="22"/>
  <c r="O16" i="34" l="1"/>
  <c r="O19" i="34"/>
  <c r="O15" i="34"/>
  <c r="O12" i="34"/>
  <c r="O10" i="34"/>
  <c r="O22" i="34"/>
  <c r="O20" i="34"/>
  <c r="O11" i="34"/>
  <c r="O14" i="34"/>
  <c r="O21" i="34"/>
  <c r="O18" i="34"/>
  <c r="O13" i="34"/>
  <c r="O17" i="34"/>
  <c r="AL69" i="36"/>
  <c r="AL72" i="36" s="1"/>
  <c r="AM43" i="36"/>
  <c r="AM46" i="36" s="1"/>
  <c r="AM49" i="36" s="1"/>
  <c r="G53" i="36"/>
  <c r="G66" i="36" s="1"/>
  <c r="AM56" i="36"/>
  <c r="AA18" i="9"/>
  <c r="D19" i="2"/>
  <c r="D102" i="2"/>
  <c r="H40" i="36"/>
  <c r="I27" i="36"/>
  <c r="I28" i="36"/>
  <c r="H67" i="36"/>
  <c r="H74" i="36" s="1"/>
  <c r="G16" i="9" s="1"/>
  <c r="H35" i="36"/>
  <c r="I54" i="36"/>
  <c r="H61" i="36"/>
  <c r="V61" i="6"/>
  <c r="U63" i="6"/>
  <c r="AM59" i="36" l="1"/>
  <c r="AM69" i="36"/>
  <c r="AM72" i="36" s="1"/>
  <c r="AN43" i="36"/>
  <c r="AN46" i="36" s="1"/>
  <c r="AN49" i="36" s="1"/>
  <c r="AB18" i="9"/>
  <c r="U67" i="6"/>
  <c r="D3" i="2"/>
  <c r="J54" i="36"/>
  <c r="I61" i="36"/>
  <c r="J28" i="36"/>
  <c r="I67" i="36"/>
  <c r="I74" i="36" s="1"/>
  <c r="H16" i="9" s="1"/>
  <c r="I35" i="36"/>
  <c r="I40" i="36"/>
  <c r="J27" i="36"/>
  <c r="H53" i="36"/>
  <c r="H66" i="36" s="1"/>
  <c r="W61" i="6"/>
  <c r="V63" i="6"/>
  <c r="V67" i="6" s="1"/>
  <c r="E11" i="22"/>
  <c r="Q10" i="34" l="1"/>
  <c r="Q16" i="34"/>
  <c r="Q18" i="34"/>
  <c r="Q17" i="34"/>
  <c r="Q21" i="34"/>
  <c r="Q15" i="34"/>
  <c r="Q13" i="34"/>
  <c r="Q20" i="34"/>
  <c r="Q22" i="34"/>
  <c r="Q12" i="34"/>
  <c r="Q14" i="34"/>
  <c r="Q11" i="34"/>
  <c r="Q19" i="34"/>
  <c r="U65" i="6"/>
  <c r="P16" i="34"/>
  <c r="P18" i="34"/>
  <c r="P21" i="34"/>
  <c r="P10" i="34"/>
  <c r="P11" i="34"/>
  <c r="P19" i="34"/>
  <c r="P22" i="34"/>
  <c r="P13" i="34"/>
  <c r="P17" i="34"/>
  <c r="P12" i="34"/>
  <c r="P20" i="34"/>
  <c r="P14" i="34"/>
  <c r="P15" i="34"/>
  <c r="AN56" i="36"/>
  <c r="AN59" i="36"/>
  <c r="AO43" i="36"/>
  <c r="AO46" i="36" s="1"/>
  <c r="AO49" i="36" s="1"/>
  <c r="AN69" i="36"/>
  <c r="AN72" i="36" s="1"/>
  <c r="AO56" i="36"/>
  <c r="H16" i="2"/>
  <c r="AC18" i="9"/>
  <c r="K27" i="36"/>
  <c r="J40" i="36"/>
  <c r="K28" i="36"/>
  <c r="J67" i="36"/>
  <c r="J74" i="36" s="1"/>
  <c r="I16" i="9" s="1"/>
  <c r="J35" i="36"/>
  <c r="I53" i="36"/>
  <c r="I66" i="36" s="1"/>
  <c r="K54" i="36"/>
  <c r="J61" i="36"/>
  <c r="X61" i="6"/>
  <c r="W63" i="6"/>
  <c r="W67" i="6" s="1"/>
  <c r="R21" i="34" l="1"/>
  <c r="R13" i="34"/>
  <c r="R17" i="34"/>
  <c r="R18" i="34"/>
  <c r="R22" i="34"/>
  <c r="R12" i="34"/>
  <c r="R14" i="34"/>
  <c r="R16" i="34"/>
  <c r="R11" i="34"/>
  <c r="R19" i="34"/>
  <c r="R10" i="34"/>
  <c r="R15" i="34"/>
  <c r="R20" i="34"/>
  <c r="AO59" i="36"/>
  <c r="AO69" i="36"/>
  <c r="AO72" i="36" s="1"/>
  <c r="J53" i="36"/>
  <c r="J66" i="36" s="1"/>
  <c r="AD18" i="9"/>
  <c r="K67" i="36"/>
  <c r="K74" i="36" s="1"/>
  <c r="J16" i="9" s="1"/>
  <c r="L28" i="36"/>
  <c r="K35" i="36"/>
  <c r="L54" i="36"/>
  <c r="K61" i="36"/>
  <c r="L27" i="36"/>
  <c r="K40" i="36"/>
  <c r="Y61" i="6"/>
  <c r="X63" i="6"/>
  <c r="X67" i="6" s="1"/>
  <c r="S16" i="34" l="1"/>
  <c r="S13" i="34"/>
  <c r="S11" i="34"/>
  <c r="S12" i="34"/>
  <c r="S15" i="34"/>
  <c r="S17" i="34"/>
  <c r="S20" i="34"/>
  <c r="S21" i="34"/>
  <c r="S19" i="34"/>
  <c r="S10" i="34"/>
  <c r="S18" i="34"/>
  <c r="S14" i="34"/>
  <c r="S22" i="34"/>
  <c r="AE18" i="9"/>
  <c r="K53" i="36"/>
  <c r="K66" i="36" s="1"/>
  <c r="M27" i="36"/>
  <c r="L40" i="36"/>
  <c r="M54" i="36"/>
  <c r="L61" i="36"/>
  <c r="L67" i="36"/>
  <c r="L74" i="36" s="1"/>
  <c r="K16" i="9" s="1"/>
  <c r="M28" i="36"/>
  <c r="L35" i="36"/>
  <c r="Z61" i="6"/>
  <c r="Y63" i="6"/>
  <c r="Y67" i="6" s="1"/>
  <c r="Z63" i="6" l="1"/>
  <c r="Z67" i="6" s="1"/>
  <c r="AA61" i="6"/>
  <c r="T11" i="34"/>
  <c r="T16" i="34"/>
  <c r="T13" i="34"/>
  <c r="T19" i="34"/>
  <c r="T14" i="34"/>
  <c r="T17" i="34"/>
  <c r="T18" i="34"/>
  <c r="T20" i="34"/>
  <c r="T21" i="34"/>
  <c r="T10" i="34"/>
  <c r="T12" i="34"/>
  <c r="T15" i="34"/>
  <c r="T22" i="34"/>
  <c r="Z105" i="6"/>
  <c r="U21" i="34"/>
  <c r="U19" i="34"/>
  <c r="U13" i="34"/>
  <c r="U14" i="34"/>
  <c r="U16" i="34"/>
  <c r="U11" i="34"/>
  <c r="U20" i="34"/>
  <c r="U10" i="34"/>
  <c r="U15" i="34"/>
  <c r="U12" i="34"/>
  <c r="U17" i="34"/>
  <c r="U18" i="34"/>
  <c r="U22" i="34"/>
  <c r="L53" i="36"/>
  <c r="L66" i="36" s="1"/>
  <c r="AF18" i="9"/>
  <c r="N54" i="36"/>
  <c r="M61" i="36"/>
  <c r="N27" i="36"/>
  <c r="M40" i="36"/>
  <c r="M67" i="36"/>
  <c r="M74" i="36" s="1"/>
  <c r="L16" i="9" s="1"/>
  <c r="N28" i="36"/>
  <c r="M35" i="36"/>
  <c r="O63" i="6"/>
  <c r="O67" i="6" s="1"/>
  <c r="AB61" i="6" l="1"/>
  <c r="AA63" i="6"/>
  <c r="J20" i="34"/>
  <c r="J13" i="34"/>
  <c r="J11" i="34"/>
  <c r="J19" i="34"/>
  <c r="J12" i="34"/>
  <c r="J15" i="34"/>
  <c r="J16" i="34"/>
  <c r="J17" i="34"/>
  <c r="J14" i="34"/>
  <c r="J18" i="34"/>
  <c r="J21" i="34"/>
  <c r="J22" i="34"/>
  <c r="J10" i="34"/>
  <c r="F10" i="25"/>
  <c r="M53" i="36"/>
  <c r="M66" i="36" s="1"/>
  <c r="O65" i="6"/>
  <c r="E17" i="8"/>
  <c r="E22" i="8" s="1"/>
  <c r="AG18" i="9"/>
  <c r="O56" i="6"/>
  <c r="N67" i="36"/>
  <c r="N74" i="36" s="1"/>
  <c r="M16" i="9" s="1"/>
  <c r="O28" i="36"/>
  <c r="N35" i="36"/>
  <c r="N40" i="36"/>
  <c r="O27" i="36"/>
  <c r="O54" i="36"/>
  <c r="N61" i="36"/>
  <c r="P63" i="6"/>
  <c r="P67" i="6" s="1"/>
  <c r="P56" i="6" s="1"/>
  <c r="AA67" i="6" l="1"/>
  <c r="AA65" i="6" s="1"/>
  <c r="AB63" i="6"/>
  <c r="AC61" i="6"/>
  <c r="J23" i="34"/>
  <c r="K16" i="34"/>
  <c r="K19" i="34"/>
  <c r="K13" i="34"/>
  <c r="K18" i="34"/>
  <c r="K22" i="34"/>
  <c r="K11" i="34"/>
  <c r="K15" i="34"/>
  <c r="K21" i="34"/>
  <c r="K10" i="34"/>
  <c r="K12" i="34"/>
  <c r="K17" i="34"/>
  <c r="K20" i="34"/>
  <c r="K14" i="34"/>
  <c r="N53" i="36"/>
  <c r="N66" i="36" s="1"/>
  <c r="E25" i="8"/>
  <c r="AH18" i="9"/>
  <c r="E11" i="9"/>
  <c r="C15" i="11" s="1"/>
  <c r="P27" i="36"/>
  <c r="O40" i="36"/>
  <c r="O67" i="36"/>
  <c r="O74" i="36" s="1"/>
  <c r="N16" i="9" s="1"/>
  <c r="P28" i="36"/>
  <c r="O35" i="36"/>
  <c r="P54" i="36"/>
  <c r="O61" i="36"/>
  <c r="K6" i="22"/>
  <c r="C13" i="4"/>
  <c r="D13" i="4"/>
  <c r="AD61" i="6" l="1"/>
  <c r="AC63" i="6"/>
  <c r="AB67" i="6"/>
  <c r="AB65" i="6" s="1"/>
  <c r="V11" i="34"/>
  <c r="V15" i="34"/>
  <c r="V10" i="34"/>
  <c r="Q17" i="8"/>
  <c r="AA56" i="6"/>
  <c r="V14" i="34"/>
  <c r="V19" i="34"/>
  <c r="V18" i="34"/>
  <c r="V21" i="34"/>
  <c r="V13" i="34"/>
  <c r="V16" i="34"/>
  <c r="Q8" i="10"/>
  <c r="V12" i="34"/>
  <c r="V20" i="34"/>
  <c r="V17" i="34"/>
  <c r="V22" i="34"/>
  <c r="AA105" i="6"/>
  <c r="AA106" i="6" s="1"/>
  <c r="R10" i="25"/>
  <c r="O53" i="36"/>
  <c r="O66" i="36" s="1"/>
  <c r="AI18" i="9"/>
  <c r="Q54" i="36"/>
  <c r="P61" i="36"/>
  <c r="Q28" i="36"/>
  <c r="R28" i="36" s="1"/>
  <c r="P67" i="36"/>
  <c r="P74" i="36" s="1"/>
  <c r="O16" i="9" s="1"/>
  <c r="P35" i="36"/>
  <c r="Q27" i="36"/>
  <c r="P40" i="36"/>
  <c r="K7" i="22"/>
  <c r="V23" i="34" l="1"/>
  <c r="Q22" i="8"/>
  <c r="Q11" i="9" s="1"/>
  <c r="Q25" i="8"/>
  <c r="Q13" i="9" s="1"/>
  <c r="Q26" i="8"/>
  <c r="Q25" i="9" s="1"/>
  <c r="O12" i="11"/>
  <c r="Q21" i="10"/>
  <c r="R12" i="25"/>
  <c r="W18" i="34"/>
  <c r="W11" i="34"/>
  <c r="R17" i="8"/>
  <c r="W22" i="34"/>
  <c r="W19" i="34"/>
  <c r="W14" i="34"/>
  <c r="W12" i="34"/>
  <c r="W17" i="34"/>
  <c r="W21" i="34"/>
  <c r="W20" i="34"/>
  <c r="W13" i="34"/>
  <c r="AB56" i="6"/>
  <c r="W15" i="34"/>
  <c r="W10" i="34"/>
  <c r="W16" i="34"/>
  <c r="R8" i="10"/>
  <c r="R13" i="10" s="1"/>
  <c r="AB105" i="6"/>
  <c r="AB106" i="6" s="1"/>
  <c r="S10" i="25"/>
  <c r="AC67" i="6"/>
  <c r="AC65" i="6" s="1"/>
  <c r="Q13" i="10"/>
  <c r="Q15" i="10"/>
  <c r="AE61" i="6"/>
  <c r="AD63" i="6"/>
  <c r="S28" i="36"/>
  <c r="R35" i="36"/>
  <c r="Q61" i="36"/>
  <c r="R54" i="36"/>
  <c r="P53" i="36"/>
  <c r="P66" i="36" s="1"/>
  <c r="Q40" i="36"/>
  <c r="Q53" i="36" s="1"/>
  <c r="Q66" i="36" s="1"/>
  <c r="R27" i="36"/>
  <c r="AJ18" i="9"/>
  <c r="Q67" i="36"/>
  <c r="Q74" i="36" s="1"/>
  <c r="P16" i="9" s="1"/>
  <c r="G14" i="2" s="1"/>
  <c r="Q35" i="36"/>
  <c r="E32" i="19"/>
  <c r="D32" i="19"/>
  <c r="B14" i="19"/>
  <c r="W23" i="34" l="1"/>
  <c r="S12" i="25"/>
  <c r="R21" i="10"/>
  <c r="R23" i="10" s="1"/>
  <c r="P12" i="11"/>
  <c r="AD67" i="6"/>
  <c r="AF61" i="6"/>
  <c r="AE63" i="6"/>
  <c r="R15" i="10"/>
  <c r="R17" i="10" s="1"/>
  <c r="Q17" i="10"/>
  <c r="Q23" i="10"/>
  <c r="X20" i="34"/>
  <c r="X15" i="34"/>
  <c r="X13" i="34"/>
  <c r="X16" i="34"/>
  <c r="X19" i="34"/>
  <c r="X21" i="34"/>
  <c r="X22" i="34"/>
  <c r="X11" i="34"/>
  <c r="X10" i="34"/>
  <c r="AC56" i="6"/>
  <c r="S8" i="10"/>
  <c r="S13" i="10" s="1"/>
  <c r="X14" i="34"/>
  <c r="X17" i="34"/>
  <c r="X12" i="34"/>
  <c r="X18" i="34"/>
  <c r="S17" i="8"/>
  <c r="AC105" i="6"/>
  <c r="AC106" i="6" s="1"/>
  <c r="T10" i="25"/>
  <c r="R25" i="8"/>
  <c r="R13" i="9" s="1"/>
  <c r="P16" i="11" s="1"/>
  <c r="R22" i="8"/>
  <c r="R11" i="9" s="1"/>
  <c r="R26" i="8"/>
  <c r="R25" i="9" s="1"/>
  <c r="P19" i="11" s="1"/>
  <c r="T28" i="36"/>
  <c r="S35" i="36"/>
  <c r="S54" i="36"/>
  <c r="R61" i="36"/>
  <c r="S27" i="36"/>
  <c r="R40" i="36"/>
  <c r="R67" i="36"/>
  <c r="R74" i="36" s="1"/>
  <c r="Q16" i="9" s="1"/>
  <c r="AK18" i="9"/>
  <c r="C59" i="15"/>
  <c r="Q25" i="10" l="1"/>
  <c r="R25" i="10"/>
  <c r="X23" i="34"/>
  <c r="S15" i="10" s="1"/>
  <c r="S17" i="10" s="1"/>
  <c r="Y18" i="34"/>
  <c r="Y12" i="34"/>
  <c r="AD56" i="6"/>
  <c r="Y20" i="34"/>
  <c r="Y17" i="34"/>
  <c r="T8" i="10"/>
  <c r="T13" i="10" s="1"/>
  <c r="Y10" i="34"/>
  <c r="Y14" i="34"/>
  <c r="Y13" i="34"/>
  <c r="Y22" i="34"/>
  <c r="Y15" i="34"/>
  <c r="Y16" i="34"/>
  <c r="Y21" i="34"/>
  <c r="Y19" i="34"/>
  <c r="T17" i="8"/>
  <c r="Y11" i="34"/>
  <c r="AD105" i="6"/>
  <c r="AD106" i="6" s="1"/>
  <c r="U10" i="25"/>
  <c r="Q12" i="11"/>
  <c r="T12" i="25"/>
  <c r="S21" i="10"/>
  <c r="S25" i="8"/>
  <c r="S13" i="9" s="1"/>
  <c r="S22" i="8"/>
  <c r="S11" i="9" s="1"/>
  <c r="S26" i="8"/>
  <c r="S25" i="9" s="1"/>
  <c r="Q19" i="11" s="1"/>
  <c r="AE67" i="6"/>
  <c r="AG61" i="6"/>
  <c r="AF63" i="6"/>
  <c r="P15" i="11"/>
  <c r="AD65" i="6"/>
  <c r="T54" i="36"/>
  <c r="S61" i="36"/>
  <c r="R53" i="36"/>
  <c r="R66" i="36" s="1"/>
  <c r="S40" i="36"/>
  <c r="T27" i="36"/>
  <c r="T67" i="36"/>
  <c r="T74" i="36" s="1"/>
  <c r="S16" i="9" s="1"/>
  <c r="U28" i="36"/>
  <c r="T35" i="36"/>
  <c r="S67" i="36"/>
  <c r="S74" i="36" s="1"/>
  <c r="R16" i="9" s="1"/>
  <c r="AL18" i="9"/>
  <c r="E52" i="12"/>
  <c r="F52" i="12" s="1"/>
  <c r="C49" i="4"/>
  <c r="E113" i="9"/>
  <c r="S23" i="10" l="1"/>
  <c r="Y23" i="34"/>
  <c r="T15" i="10" s="1"/>
  <c r="Z16" i="34"/>
  <c r="Z15" i="34"/>
  <c r="U17" i="8"/>
  <c r="Z17" i="34"/>
  <c r="Z12" i="34"/>
  <c r="U8" i="10"/>
  <c r="Z18" i="34"/>
  <c r="Z10" i="34"/>
  <c r="Z11" i="34"/>
  <c r="Z21" i="34"/>
  <c r="Z19" i="34"/>
  <c r="Z13" i="34"/>
  <c r="Z14" i="34"/>
  <c r="Z22" i="34"/>
  <c r="AE56" i="6"/>
  <c r="Z20" i="34"/>
  <c r="AE105" i="6"/>
  <c r="AE106" i="6" s="1"/>
  <c r="V10" i="25"/>
  <c r="T21" i="10"/>
  <c r="T23" i="10" s="1"/>
  <c r="U12" i="25"/>
  <c r="R12" i="11"/>
  <c r="AE65" i="6"/>
  <c r="AF67" i="6"/>
  <c r="AF65" i="6"/>
  <c r="Q16" i="11"/>
  <c r="AG63" i="6"/>
  <c r="AH61" i="6"/>
  <c r="T22" i="8"/>
  <c r="T11" i="9" s="1"/>
  <c r="T25" i="8"/>
  <c r="T13" i="9" s="1"/>
  <c r="R16" i="11" s="1"/>
  <c r="T26" i="8"/>
  <c r="T25" i="9" s="1"/>
  <c r="R19" i="11" s="1"/>
  <c r="Q15" i="11"/>
  <c r="V28" i="36"/>
  <c r="U35" i="36"/>
  <c r="U27" i="36"/>
  <c r="T40" i="36"/>
  <c r="S53" i="36"/>
  <c r="S66" i="36" s="1"/>
  <c r="U54" i="36"/>
  <c r="U67" i="36" s="1"/>
  <c r="U74" i="36" s="1"/>
  <c r="T16" i="9" s="1"/>
  <c r="T61" i="36"/>
  <c r="AM18" i="9"/>
  <c r="E33" i="12"/>
  <c r="G52" i="12"/>
  <c r="H52" i="12" s="1"/>
  <c r="I52" i="12" s="1"/>
  <c r="F113" i="9"/>
  <c r="F109" i="9"/>
  <c r="E115" i="9"/>
  <c r="E114" i="9"/>
  <c r="E109" i="9"/>
  <c r="S25" i="10" l="1"/>
  <c r="Z23" i="34"/>
  <c r="U15" i="10" s="1"/>
  <c r="U17" i="10" s="1"/>
  <c r="T17" i="10"/>
  <c r="U13" i="10"/>
  <c r="AG67" i="6"/>
  <c r="AG65" i="6" s="1"/>
  <c r="U22" i="8"/>
  <c r="U11" i="9" s="1"/>
  <c r="U25" i="8"/>
  <c r="U13" i="9" s="1"/>
  <c r="S16" i="11" s="1"/>
  <c r="U26" i="8"/>
  <c r="U25" i="9" s="1"/>
  <c r="S19" i="11" s="1"/>
  <c r="R15" i="11"/>
  <c r="AH63" i="6"/>
  <c r="AI61" i="6"/>
  <c r="U21" i="10"/>
  <c r="U23" i="10" s="1"/>
  <c r="V12" i="25"/>
  <c r="S12" i="11"/>
  <c r="AA14" i="34"/>
  <c r="AA13" i="34"/>
  <c r="AA19" i="34"/>
  <c r="AA12" i="34"/>
  <c r="AA21" i="34"/>
  <c r="AA11" i="34"/>
  <c r="AA10" i="34"/>
  <c r="AA16" i="34"/>
  <c r="AA20" i="34"/>
  <c r="AF56" i="6"/>
  <c r="V8" i="10"/>
  <c r="V13" i="10" s="1"/>
  <c r="AA18" i="34"/>
  <c r="AA15" i="34"/>
  <c r="AA22" i="34"/>
  <c r="V17" i="8"/>
  <c r="AA17" i="34"/>
  <c r="AF105" i="6"/>
  <c r="AF106" i="6" s="1"/>
  <c r="W10" i="25"/>
  <c r="V54" i="36"/>
  <c r="U61" i="36"/>
  <c r="T53" i="36"/>
  <c r="T66" i="36" s="1"/>
  <c r="U40" i="36"/>
  <c r="V27" i="36"/>
  <c r="W28" i="36"/>
  <c r="V35" i="36"/>
  <c r="AN18" i="9"/>
  <c r="J52" i="12"/>
  <c r="K11" i="22"/>
  <c r="F9" i="12"/>
  <c r="F33" i="12" s="1"/>
  <c r="F24" i="9"/>
  <c r="F114" i="9"/>
  <c r="U25" i="10" l="1"/>
  <c r="AA23" i="34"/>
  <c r="V15" i="10" s="1"/>
  <c r="T25" i="10"/>
  <c r="AI63" i="6"/>
  <c r="AJ61" i="6"/>
  <c r="AH67" i="6"/>
  <c r="AH65" i="6" s="1"/>
  <c r="S15" i="11"/>
  <c r="T12" i="11"/>
  <c r="V21" i="10"/>
  <c r="W12" i="25"/>
  <c r="V22" i="8"/>
  <c r="V11" i="9" s="1"/>
  <c r="V25" i="8"/>
  <c r="V13" i="9" s="1"/>
  <c r="V26" i="8"/>
  <c r="V25" i="9" s="1"/>
  <c r="T19" i="11" s="1"/>
  <c r="AB13" i="34"/>
  <c r="AB19" i="34"/>
  <c r="AB22" i="34"/>
  <c r="AB14" i="34"/>
  <c r="W8" i="10"/>
  <c r="W13" i="10" s="1"/>
  <c r="AB15" i="34"/>
  <c r="W17" i="8"/>
  <c r="AB16" i="34"/>
  <c r="AB21" i="34"/>
  <c r="AB20" i="34"/>
  <c r="AB18" i="34"/>
  <c r="AB12" i="34"/>
  <c r="AB11" i="34"/>
  <c r="AB17" i="34"/>
  <c r="AB10" i="34"/>
  <c r="AG56" i="6"/>
  <c r="AG105" i="6"/>
  <c r="AG106" i="6" s="1"/>
  <c r="X10" i="25"/>
  <c r="U53" i="36"/>
  <c r="U66" i="36" s="1"/>
  <c r="W54" i="36"/>
  <c r="V61" i="36"/>
  <c r="W67" i="36"/>
  <c r="W74" i="36" s="1"/>
  <c r="V16" i="9" s="1"/>
  <c r="X28" i="36"/>
  <c r="W35" i="36"/>
  <c r="V40" i="36"/>
  <c r="V53" i="36" s="1"/>
  <c r="V66" i="36" s="1"/>
  <c r="W27" i="36"/>
  <c r="V67" i="36"/>
  <c r="V74" i="36" s="1"/>
  <c r="U16" i="9" s="1"/>
  <c r="I16" i="2"/>
  <c r="K52" i="12"/>
  <c r="C29" i="11"/>
  <c r="F28" i="9"/>
  <c r="F30" i="9" s="1"/>
  <c r="G9" i="12"/>
  <c r="G33" i="12" s="1"/>
  <c r="G24" i="9"/>
  <c r="F115" i="9"/>
  <c r="AB23" i="34" l="1"/>
  <c r="W15" i="10" s="1"/>
  <c r="W17" i="10" s="1"/>
  <c r="V23" i="10"/>
  <c r="V17" i="10"/>
  <c r="X12" i="25"/>
  <c r="U12" i="11"/>
  <c r="W21" i="10"/>
  <c r="W23" i="10" s="1"/>
  <c r="W22" i="8"/>
  <c r="W11" i="9" s="1"/>
  <c r="U15" i="11" s="1"/>
  <c r="W25" i="8"/>
  <c r="W13" i="9" s="1"/>
  <c r="U16" i="11" s="1"/>
  <c r="W26" i="8"/>
  <c r="W25" i="9" s="1"/>
  <c r="U19" i="11" s="1"/>
  <c r="AC11" i="34"/>
  <c r="AH56" i="6"/>
  <c r="AC14" i="34"/>
  <c r="AC19" i="34"/>
  <c r="AC21" i="34"/>
  <c r="AC22" i="34"/>
  <c r="AC10" i="34"/>
  <c r="AC12" i="34"/>
  <c r="AC18" i="34"/>
  <c r="AC20" i="34"/>
  <c r="X8" i="10"/>
  <c r="X13" i="10" s="1"/>
  <c r="AC17" i="34"/>
  <c r="AC16" i="34"/>
  <c r="AC13" i="34"/>
  <c r="AC15" i="34"/>
  <c r="X17" i="8"/>
  <c r="AH105" i="6"/>
  <c r="AH106" i="6" s="1"/>
  <c r="Y10" i="25"/>
  <c r="AJ63" i="6"/>
  <c r="AK61" i="6"/>
  <c r="T16" i="11"/>
  <c r="AI67" i="6"/>
  <c r="AI65" i="6" s="1"/>
  <c r="T15" i="11"/>
  <c r="X54" i="36"/>
  <c r="W61" i="36"/>
  <c r="W40" i="36"/>
  <c r="X27" i="36"/>
  <c r="Y28" i="36"/>
  <c r="X67" i="36"/>
  <c r="X74" i="36" s="1"/>
  <c r="W16" i="9" s="1"/>
  <c r="X35" i="36"/>
  <c r="L52" i="12"/>
  <c r="D59" i="12"/>
  <c r="C42" i="18"/>
  <c r="H9" i="12"/>
  <c r="H33" i="12" s="1"/>
  <c r="I9" i="12" s="1"/>
  <c r="I33" i="12" s="1"/>
  <c r="H24" i="9"/>
  <c r="F8" i="12"/>
  <c r="E34" i="12"/>
  <c r="C46" i="4"/>
  <c r="C47" i="4"/>
  <c r="C24" i="2"/>
  <c r="E24" i="2" s="1"/>
  <c r="W25" i="10" l="1"/>
  <c r="AC23" i="34"/>
  <c r="X15" i="10" s="1"/>
  <c r="X17" i="10" s="1"/>
  <c r="V25" i="10"/>
  <c r="X25" i="8"/>
  <c r="X13" i="9" s="1"/>
  <c r="V16" i="11" s="1"/>
  <c r="X22" i="8"/>
  <c r="X11" i="9" s="1"/>
  <c r="V15" i="11" s="1"/>
  <c r="X26" i="8"/>
  <c r="X25" i="9" s="1"/>
  <c r="V19" i="11" s="1"/>
  <c r="AD20" i="34"/>
  <c r="AD15" i="34"/>
  <c r="AD10" i="34"/>
  <c r="AD18" i="34"/>
  <c r="Y17" i="8"/>
  <c r="AD14" i="34"/>
  <c r="AD17" i="34"/>
  <c r="AD19" i="34"/>
  <c r="AI56" i="6"/>
  <c r="AD11" i="34"/>
  <c r="AD13" i="34"/>
  <c r="AD16" i="34"/>
  <c r="Y8" i="10"/>
  <c r="Y13" i="10" s="1"/>
  <c r="AD22" i="34"/>
  <c r="AD12" i="34"/>
  <c r="AD21" i="34"/>
  <c r="AI105" i="6"/>
  <c r="AI106" i="6" s="1"/>
  <c r="Z10" i="25"/>
  <c r="AL61" i="6"/>
  <c r="AK63" i="6"/>
  <c r="AJ67" i="6"/>
  <c r="AJ65" i="6"/>
  <c r="Y12" i="25"/>
  <c r="V12" i="11"/>
  <c r="X21" i="10"/>
  <c r="X23" i="10" s="1"/>
  <c r="Z28" i="36"/>
  <c r="Y35" i="36"/>
  <c r="X40" i="36"/>
  <c r="Y27" i="36"/>
  <c r="W53" i="36"/>
  <c r="W66" i="36" s="1"/>
  <c r="Y54" i="36"/>
  <c r="X61" i="36"/>
  <c r="C32" i="2"/>
  <c r="E32" i="2" s="1"/>
  <c r="D45" i="4"/>
  <c r="D48" i="4"/>
  <c r="F32" i="12"/>
  <c r="G28" i="9" s="1"/>
  <c r="G30" i="9" s="1"/>
  <c r="F10" i="12"/>
  <c r="J24" i="9"/>
  <c r="J9" i="12"/>
  <c r="J33" i="12" s="1"/>
  <c r="M52" i="12"/>
  <c r="E54" i="12"/>
  <c r="F31" i="10" s="1"/>
  <c r="E36" i="12"/>
  <c r="D27" i="11" s="1"/>
  <c r="I24" i="9"/>
  <c r="C19" i="8"/>
  <c r="C33" i="4"/>
  <c r="C12" i="8" s="1"/>
  <c r="D33" i="4"/>
  <c r="D12" i="8" s="1"/>
  <c r="D39" i="4"/>
  <c r="C48" i="4"/>
  <c r="C39" i="4"/>
  <c r="C45" i="2"/>
  <c r="E45" i="2" s="1"/>
  <c r="C32" i="4"/>
  <c r="C11" i="8" s="1"/>
  <c r="D32" i="4"/>
  <c r="D11" i="8" s="1"/>
  <c r="C51" i="4"/>
  <c r="C35" i="4"/>
  <c r="F46" i="5"/>
  <c r="C24" i="4"/>
  <c r="D36" i="4"/>
  <c r="C25" i="4"/>
  <c r="G33" i="5"/>
  <c r="X25" i="10" l="1"/>
  <c r="AD23" i="34"/>
  <c r="Y15" i="10" s="1"/>
  <c r="W12" i="11"/>
  <c r="Z12" i="25"/>
  <c r="Y21" i="10"/>
  <c r="AE21" i="34"/>
  <c r="AE14" i="34"/>
  <c r="AE20" i="34"/>
  <c r="AE11" i="34"/>
  <c r="AE10" i="34"/>
  <c r="AE13" i="34"/>
  <c r="Z8" i="10"/>
  <c r="Z13" i="10" s="1"/>
  <c r="Z17" i="8"/>
  <c r="AE16" i="34"/>
  <c r="AE12" i="34"/>
  <c r="AE19" i="34"/>
  <c r="AE22" i="34"/>
  <c r="AE18" i="34"/>
  <c r="AE15" i="34"/>
  <c r="AJ56" i="6"/>
  <c r="AE17" i="34"/>
  <c r="AJ105" i="6"/>
  <c r="AJ106" i="6" s="1"/>
  <c r="AA10" i="25"/>
  <c r="Y25" i="8"/>
  <c r="Y13" i="9" s="1"/>
  <c r="W16" i="11" s="1"/>
  <c r="Y22" i="8"/>
  <c r="Y11" i="9" s="1"/>
  <c r="Y26" i="8"/>
  <c r="Y25" i="9" s="1"/>
  <c r="W19" i="11" s="1"/>
  <c r="AK67" i="6"/>
  <c r="AK65" i="6" s="1"/>
  <c r="AL63" i="6"/>
  <c r="AM61" i="6"/>
  <c r="X53" i="36"/>
  <c r="X66" i="36" s="1"/>
  <c r="Z27" i="36"/>
  <c r="Y40" i="36"/>
  <c r="Z54" i="36"/>
  <c r="Y61" i="36"/>
  <c r="AA28" i="36"/>
  <c r="Z35" i="36"/>
  <c r="Y67" i="36"/>
  <c r="Y74" i="36" s="1"/>
  <c r="X16" i="9" s="1"/>
  <c r="S11" i="8"/>
  <c r="S23" i="8" s="1"/>
  <c r="AA11" i="8"/>
  <c r="AA23" i="8" s="1"/>
  <c r="AI11" i="8"/>
  <c r="AI23" i="8" s="1"/>
  <c r="T11" i="8"/>
  <c r="T23" i="8" s="1"/>
  <c r="AB11" i="8"/>
  <c r="AB23" i="8" s="1"/>
  <c r="AJ11" i="8"/>
  <c r="AJ23" i="8" s="1"/>
  <c r="U11" i="8"/>
  <c r="U23" i="8" s="1"/>
  <c r="AC11" i="8"/>
  <c r="AC23" i="8" s="1"/>
  <c r="AK11" i="8"/>
  <c r="AK23" i="8" s="1"/>
  <c r="V11" i="8"/>
  <c r="V23" i="8" s="1"/>
  <c r="AD11" i="8"/>
  <c r="AD23" i="8" s="1"/>
  <c r="AL11" i="8"/>
  <c r="AL23" i="8" s="1"/>
  <c r="W11" i="8"/>
  <c r="W23" i="8" s="1"/>
  <c r="AE11" i="8"/>
  <c r="AE23" i="8" s="1"/>
  <c r="AM11" i="8"/>
  <c r="AM23" i="8" s="1"/>
  <c r="X11" i="8"/>
  <c r="X23" i="8" s="1"/>
  <c r="AF11" i="8"/>
  <c r="AF23" i="8" s="1"/>
  <c r="AN11" i="8"/>
  <c r="AN23" i="8" s="1"/>
  <c r="Q11" i="8"/>
  <c r="Q23" i="8" s="1"/>
  <c r="Y11" i="8"/>
  <c r="Y23" i="8" s="1"/>
  <c r="AG11" i="8"/>
  <c r="AG23" i="8" s="1"/>
  <c r="R11" i="8"/>
  <c r="R23" i="8" s="1"/>
  <c r="Z11" i="8"/>
  <c r="Z23" i="8" s="1"/>
  <c r="AH11" i="8"/>
  <c r="AH23" i="8" s="1"/>
  <c r="E12" i="8"/>
  <c r="S12" i="8"/>
  <c r="S24" i="8" s="1"/>
  <c r="S23" i="9" s="1"/>
  <c r="AA12" i="8"/>
  <c r="AA24" i="8" s="1"/>
  <c r="AA23" i="9" s="1"/>
  <c r="AI12" i="8"/>
  <c r="AI24" i="8" s="1"/>
  <c r="AI23" i="9" s="1"/>
  <c r="Z12" i="8"/>
  <c r="Z24" i="8" s="1"/>
  <c r="Z23" i="9" s="1"/>
  <c r="T12" i="8"/>
  <c r="T24" i="8" s="1"/>
  <c r="T23" i="9" s="1"/>
  <c r="AB12" i="8"/>
  <c r="AB24" i="8" s="1"/>
  <c r="AB23" i="9" s="1"/>
  <c r="AJ12" i="8"/>
  <c r="AJ24" i="8" s="1"/>
  <c r="AJ23" i="9" s="1"/>
  <c r="R12" i="8"/>
  <c r="R24" i="8" s="1"/>
  <c r="R23" i="9" s="1"/>
  <c r="U12" i="8"/>
  <c r="U24" i="8" s="1"/>
  <c r="U23" i="9" s="1"/>
  <c r="AC12" i="8"/>
  <c r="AC24" i="8" s="1"/>
  <c r="AC23" i="9" s="1"/>
  <c r="AK12" i="8"/>
  <c r="AK24" i="8" s="1"/>
  <c r="AK23" i="9" s="1"/>
  <c r="V12" i="8"/>
  <c r="V24" i="8" s="1"/>
  <c r="V23" i="9" s="1"/>
  <c r="AD12" i="8"/>
  <c r="AD24" i="8" s="1"/>
  <c r="AD23" i="9" s="1"/>
  <c r="AL12" i="8"/>
  <c r="AL24" i="8" s="1"/>
  <c r="AL23" i="9" s="1"/>
  <c r="W12" i="8"/>
  <c r="W24" i="8" s="1"/>
  <c r="W23" i="9" s="1"/>
  <c r="AE12" i="8"/>
  <c r="AE24" i="8" s="1"/>
  <c r="AE23" i="9" s="1"/>
  <c r="AM12" i="8"/>
  <c r="AM24" i="8" s="1"/>
  <c r="AM23" i="9" s="1"/>
  <c r="X12" i="8"/>
  <c r="X24" i="8" s="1"/>
  <c r="X23" i="9" s="1"/>
  <c r="AF12" i="8"/>
  <c r="AF24" i="8" s="1"/>
  <c r="AF23" i="9" s="1"/>
  <c r="AN12" i="8"/>
  <c r="AN24" i="8" s="1"/>
  <c r="AN23" i="9" s="1"/>
  <c r="Q12" i="8"/>
  <c r="Q24" i="8" s="1"/>
  <c r="Q23" i="9" s="1"/>
  <c r="Y12" i="8"/>
  <c r="Y24" i="8" s="1"/>
  <c r="Y23" i="9" s="1"/>
  <c r="AG12" i="8"/>
  <c r="AG24" i="8" s="1"/>
  <c r="AG23" i="9" s="1"/>
  <c r="AH12" i="8"/>
  <c r="AH24" i="8" s="1"/>
  <c r="AH23" i="9" s="1"/>
  <c r="D29" i="11"/>
  <c r="D42" i="18"/>
  <c r="H57" i="5"/>
  <c r="I44" i="5" s="1"/>
  <c r="C15" i="1"/>
  <c r="C57" i="2"/>
  <c r="E57" i="2" s="1"/>
  <c r="E61" i="2" s="1"/>
  <c r="C7" i="4"/>
  <c r="E11" i="8"/>
  <c r="C55" i="18" s="1"/>
  <c r="M11" i="8"/>
  <c r="L11" i="8"/>
  <c r="F11" i="8"/>
  <c r="N11" i="8"/>
  <c r="G11" i="8"/>
  <c r="H11" i="8"/>
  <c r="P11" i="8"/>
  <c r="I11" i="8"/>
  <c r="O11" i="8"/>
  <c r="J11" i="8"/>
  <c r="K11" i="8"/>
  <c r="J12" i="8"/>
  <c r="H56" i="18" s="1"/>
  <c r="F12" i="8"/>
  <c r="K12" i="8"/>
  <c r="I56" i="18" s="1"/>
  <c r="L12" i="8"/>
  <c r="J56" i="18" s="1"/>
  <c r="M12" i="8"/>
  <c r="K56" i="18" s="1"/>
  <c r="N12" i="8"/>
  <c r="L56" i="18" s="1"/>
  <c r="G12" i="8"/>
  <c r="O12" i="8"/>
  <c r="M56" i="18" s="1"/>
  <c r="H12" i="8"/>
  <c r="P12" i="8"/>
  <c r="N56" i="18" s="1"/>
  <c r="I12" i="8"/>
  <c r="E8" i="10"/>
  <c r="C5" i="17" s="1"/>
  <c r="K9" i="12"/>
  <c r="K33" i="12" s="1"/>
  <c r="K24" i="9"/>
  <c r="N52" i="12"/>
  <c r="E59" i="12"/>
  <c r="C56" i="18"/>
  <c r="C6" i="25"/>
  <c r="D54" i="18"/>
  <c r="D43" i="4"/>
  <c r="C55" i="4"/>
  <c r="C34" i="4"/>
  <c r="D34" i="4"/>
  <c r="C19" i="2"/>
  <c r="G46" i="5"/>
  <c r="D18" i="4"/>
  <c r="C43" i="4"/>
  <c r="G8" i="12"/>
  <c r="F34" i="12"/>
  <c r="C36" i="4"/>
  <c r="C23" i="4"/>
  <c r="C22" i="4"/>
  <c r="H33" i="5"/>
  <c r="H58" i="5"/>
  <c r="C52" i="4"/>
  <c r="Y23" i="10" l="1"/>
  <c r="AE23" i="34"/>
  <c r="Z15" i="10" s="1"/>
  <c r="Z17" i="10" s="1"/>
  <c r="Y17" i="10"/>
  <c r="AN61" i="6"/>
  <c r="AM63" i="6"/>
  <c r="Z21" i="10"/>
  <c r="Z23" i="10" s="1"/>
  <c r="X12" i="11"/>
  <c r="AA12" i="25"/>
  <c r="AL67" i="6"/>
  <c r="AL65" i="6"/>
  <c r="W15" i="11"/>
  <c r="Z25" i="8"/>
  <c r="Z13" i="9" s="1"/>
  <c r="Z22" i="8"/>
  <c r="Z11" i="9" s="1"/>
  <c r="Z26" i="8"/>
  <c r="Z25" i="9" s="1"/>
  <c r="X19" i="11" s="1"/>
  <c r="AF14" i="34"/>
  <c r="AA8" i="10"/>
  <c r="AA13" i="10" s="1"/>
  <c r="AF12" i="34"/>
  <c r="AF10" i="34"/>
  <c r="AF21" i="34"/>
  <c r="AF22" i="34"/>
  <c r="AF15" i="34"/>
  <c r="AF17" i="34"/>
  <c r="AF16" i="34"/>
  <c r="AF11" i="34"/>
  <c r="AF19" i="34"/>
  <c r="AF18" i="34"/>
  <c r="AK56" i="6"/>
  <c r="AF20" i="34"/>
  <c r="AF13" i="34"/>
  <c r="AA17" i="8"/>
  <c r="AK105" i="6"/>
  <c r="AK106" i="6" s="1"/>
  <c r="AB10" i="25"/>
  <c r="AB28" i="36"/>
  <c r="AA35" i="36"/>
  <c r="AA54" i="36"/>
  <c r="Z61" i="36"/>
  <c r="Y53" i="36"/>
  <c r="Y66" i="36" s="1"/>
  <c r="Z40" i="36"/>
  <c r="AA27" i="36"/>
  <c r="Z67" i="36"/>
  <c r="Z74" i="36" s="1"/>
  <c r="Y16" i="9" s="1"/>
  <c r="G32" i="12"/>
  <c r="G34" i="12" s="1"/>
  <c r="AB18" i="11"/>
  <c r="R18" i="11"/>
  <c r="R12" i="9"/>
  <c r="R28" i="8"/>
  <c r="AE12" i="9"/>
  <c r="AJ12" i="9"/>
  <c r="I21" i="2"/>
  <c r="AL18" i="11"/>
  <c r="T18" i="11"/>
  <c r="X18" i="11"/>
  <c r="AG12" i="9"/>
  <c r="W28" i="8"/>
  <c r="W12" i="9"/>
  <c r="AB12" i="9"/>
  <c r="AD18" i="11"/>
  <c r="AI18" i="11"/>
  <c r="AG18" i="11"/>
  <c r="Y12" i="9"/>
  <c r="Y28" i="8"/>
  <c r="AL12" i="9"/>
  <c r="T12" i="9"/>
  <c r="T28" i="8"/>
  <c r="AI12" i="9"/>
  <c r="AA12" i="9"/>
  <c r="S18" i="11"/>
  <c r="AN12" i="9"/>
  <c r="I10" i="2" s="1"/>
  <c r="AF18" i="11"/>
  <c r="AC18" i="11"/>
  <c r="P18" i="11"/>
  <c r="AF12" i="9"/>
  <c r="AK12" i="9"/>
  <c r="S12" i="9"/>
  <c r="S28" i="8"/>
  <c r="V18" i="11"/>
  <c r="AA18" i="11"/>
  <c r="Y18" i="11"/>
  <c r="Q12" i="9"/>
  <c r="Q28" i="8"/>
  <c r="AD12" i="9"/>
  <c r="Q18" i="11"/>
  <c r="AE18" i="11"/>
  <c r="U18" i="11"/>
  <c r="AH18" i="11"/>
  <c r="AH12" i="9"/>
  <c r="X12" i="9"/>
  <c r="X28" i="8"/>
  <c r="AC12" i="9"/>
  <c r="AK18" i="11"/>
  <c r="V12" i="9"/>
  <c r="V28" i="8"/>
  <c r="W18" i="11"/>
  <c r="AJ18" i="11"/>
  <c r="H21" i="2"/>
  <c r="Z18" i="11"/>
  <c r="Z12" i="9"/>
  <c r="AM12" i="9"/>
  <c r="U28" i="8"/>
  <c r="U12" i="9"/>
  <c r="E19" i="2"/>
  <c r="E3" i="2" s="1"/>
  <c r="C61" i="2"/>
  <c r="C65" i="2" s="1"/>
  <c r="E65" i="2" s="1"/>
  <c r="C12" i="11"/>
  <c r="E21" i="10"/>
  <c r="H71" i="5"/>
  <c r="I45" i="5"/>
  <c r="H70" i="5"/>
  <c r="I56" i="5"/>
  <c r="I57" i="5"/>
  <c r="G72" i="5"/>
  <c r="G59" i="5"/>
  <c r="C3" i="2"/>
  <c r="D54" i="4"/>
  <c r="D53" i="4"/>
  <c r="N55" i="18"/>
  <c r="N57" i="18" s="1"/>
  <c r="H55" i="18"/>
  <c r="H57" i="18" s="1"/>
  <c r="J55" i="18"/>
  <c r="J57" i="18" s="1"/>
  <c r="L55" i="18"/>
  <c r="L57" i="18" s="1"/>
  <c r="I55" i="18"/>
  <c r="I57" i="18" s="1"/>
  <c r="M55" i="18"/>
  <c r="M57" i="18" s="1"/>
  <c r="K55" i="18"/>
  <c r="K57" i="18" s="1"/>
  <c r="L9" i="12"/>
  <c r="L33" i="12" s="1"/>
  <c r="L24" i="9"/>
  <c r="O52" i="12"/>
  <c r="P52" i="12" s="1"/>
  <c r="F54" i="12"/>
  <c r="G31" i="10" s="1"/>
  <c r="F36" i="12"/>
  <c r="E27" i="11" s="1"/>
  <c r="D8" i="31"/>
  <c r="D26" i="31" s="1"/>
  <c r="G27" i="5"/>
  <c r="C26" i="4"/>
  <c r="C57" i="18"/>
  <c r="D55" i="18"/>
  <c r="E54" i="18"/>
  <c r="D29" i="4"/>
  <c r="C54" i="4"/>
  <c r="C53" i="4"/>
  <c r="C15" i="4"/>
  <c r="C50" i="4"/>
  <c r="D8" i="4"/>
  <c r="D37" i="4"/>
  <c r="D15" i="4"/>
  <c r="I33" i="5"/>
  <c r="C8" i="4"/>
  <c r="C37" i="4"/>
  <c r="J33" i="5"/>
  <c r="G10" i="12"/>
  <c r="G13" i="15"/>
  <c r="H13" i="15" s="1"/>
  <c r="I13" i="15" s="1"/>
  <c r="J13" i="15" s="1"/>
  <c r="K13" i="15" s="1"/>
  <c r="L13" i="15" s="1"/>
  <c r="M13" i="15" s="1"/>
  <c r="N13" i="15" s="1"/>
  <c r="C18" i="4"/>
  <c r="C29" i="4" s="1"/>
  <c r="H46" i="5"/>
  <c r="Z25" i="10" l="1"/>
  <c r="Y25" i="10"/>
  <c r="Z28" i="8"/>
  <c r="AF23" i="34"/>
  <c r="AA15" i="10" s="1"/>
  <c r="AA17" i="10" s="1"/>
  <c r="Y12" i="11"/>
  <c r="AA21" i="10"/>
  <c r="AA23" i="10" s="1"/>
  <c r="AB12" i="25"/>
  <c r="AA22" i="8"/>
  <c r="AA25" i="8"/>
  <c r="AA13" i="9" s="1"/>
  <c r="AA26" i="8"/>
  <c r="AA25" i="9" s="1"/>
  <c r="Y19" i="11" s="1"/>
  <c r="AM67" i="6"/>
  <c r="AN63" i="6"/>
  <c r="AO61" i="6"/>
  <c r="X16" i="11"/>
  <c r="X15" i="11"/>
  <c r="AG17" i="34"/>
  <c r="AG15" i="34"/>
  <c r="AG18" i="34"/>
  <c r="AG12" i="34"/>
  <c r="AG13" i="34"/>
  <c r="AG14" i="34"/>
  <c r="AG20" i="34"/>
  <c r="AL56" i="6"/>
  <c r="AG10" i="34"/>
  <c r="AG11" i="34"/>
  <c r="AB8" i="10"/>
  <c r="AB13" i="10" s="1"/>
  <c r="AG21" i="34"/>
  <c r="AG19" i="34"/>
  <c r="AG22" i="34"/>
  <c r="AB17" i="8"/>
  <c r="AG16" i="34"/>
  <c r="AL105" i="6"/>
  <c r="AL106" i="6" s="1"/>
  <c r="AC10" i="25"/>
  <c r="P17" i="11"/>
  <c r="AB54" i="36"/>
  <c r="AA61" i="36"/>
  <c r="Z17" i="11"/>
  <c r="AA40" i="36"/>
  <c r="AB27" i="36"/>
  <c r="Z53" i="36"/>
  <c r="Z66" i="36" s="1"/>
  <c r="AA67" i="36"/>
  <c r="AA74" i="36" s="1"/>
  <c r="Z16" i="9" s="1"/>
  <c r="AC28" i="36"/>
  <c r="AB67" i="36"/>
  <c r="AB74" i="36" s="1"/>
  <c r="AA16" i="9" s="1"/>
  <c r="AB35" i="36"/>
  <c r="H28" i="9"/>
  <c r="H30" i="9" s="1"/>
  <c r="G33" i="4"/>
  <c r="AL17" i="11"/>
  <c r="R17" i="11"/>
  <c r="AE17" i="11"/>
  <c r="AB17" i="11"/>
  <c r="X17" i="11"/>
  <c r="AJ17" i="11"/>
  <c r="T17" i="11"/>
  <c r="AD17" i="11"/>
  <c r="V17" i="11"/>
  <c r="AC17" i="11"/>
  <c r="AK17" i="11"/>
  <c r="Q17" i="11"/>
  <c r="W17" i="11"/>
  <c r="AG17" i="11"/>
  <c r="AH17" i="11"/>
  <c r="I84" i="2"/>
  <c r="H10" i="2"/>
  <c r="AA17" i="11"/>
  <c r="Y17" i="11"/>
  <c r="AF17" i="11"/>
  <c r="Q52" i="12"/>
  <c r="U17" i="11"/>
  <c r="S17" i="11"/>
  <c r="AI17" i="11"/>
  <c r="C69" i="2"/>
  <c r="E69" i="2" s="1"/>
  <c r="C75" i="2"/>
  <c r="C86" i="2" s="1"/>
  <c r="C97" i="2" s="1"/>
  <c r="C100" i="2" s="1"/>
  <c r="C102" i="2" s="1"/>
  <c r="C8" i="31"/>
  <c r="C26" i="31" s="1"/>
  <c r="E42" i="18"/>
  <c r="E29" i="11"/>
  <c r="F64" i="36"/>
  <c r="I69" i="5"/>
  <c r="J43" i="5"/>
  <c r="I70" i="5"/>
  <c r="J44" i="5"/>
  <c r="G40" i="5"/>
  <c r="I58" i="5"/>
  <c r="F59" i="12"/>
  <c r="M9" i="12"/>
  <c r="M33" i="12" s="1"/>
  <c r="M24" i="9"/>
  <c r="D56" i="18"/>
  <c r="D57" i="18" s="1"/>
  <c r="H59" i="5"/>
  <c r="H72" i="5"/>
  <c r="E56" i="18"/>
  <c r="E55" i="18"/>
  <c r="G54" i="18"/>
  <c r="F54" i="18"/>
  <c r="C38" i="4"/>
  <c r="C6" i="16"/>
  <c r="C9" i="4"/>
  <c r="C12" i="4"/>
  <c r="C11" i="4"/>
  <c r="C14" i="4"/>
  <c r="C10" i="4"/>
  <c r="G36" i="12"/>
  <c r="F27" i="11" s="1"/>
  <c r="H8" i="12"/>
  <c r="AA25" i="10" l="1"/>
  <c r="AG23" i="34"/>
  <c r="AB15" i="10" s="1"/>
  <c r="AB17" i="10" s="1"/>
  <c r="AH14" i="34"/>
  <c r="AH16" i="34"/>
  <c r="AC17" i="8"/>
  <c r="AH20" i="34"/>
  <c r="AH12" i="34"/>
  <c r="AH19" i="34"/>
  <c r="AH22" i="34"/>
  <c r="AH17" i="34"/>
  <c r="AC8" i="10"/>
  <c r="AH10" i="34"/>
  <c r="AH15" i="34"/>
  <c r="AH18" i="34"/>
  <c r="AH11" i="34"/>
  <c r="AM56" i="6"/>
  <c r="AH21" i="34"/>
  <c r="AH13" i="34"/>
  <c r="AM105" i="6"/>
  <c r="AM106" i="6" s="1"/>
  <c r="AD10" i="25"/>
  <c r="AB25" i="8"/>
  <c r="AB13" i="9" s="1"/>
  <c r="Z16" i="11" s="1"/>
  <c r="AB22" i="8"/>
  <c r="AB26" i="8"/>
  <c r="AB25" i="9" s="1"/>
  <c r="AP61" i="6"/>
  <c r="AO63" i="6"/>
  <c r="AA11" i="9"/>
  <c r="AA28" i="8"/>
  <c r="Y16" i="11"/>
  <c r="AN67" i="6"/>
  <c r="AN65" i="6" s="1"/>
  <c r="Z12" i="11"/>
  <c r="AB21" i="10"/>
  <c r="AB23" i="10" s="1"/>
  <c r="AB25" i="10" s="1"/>
  <c r="AC12" i="25"/>
  <c r="AM65" i="6"/>
  <c r="AB40" i="36"/>
  <c r="AB53" i="36" s="1"/>
  <c r="AB66" i="36" s="1"/>
  <c r="AC27" i="36"/>
  <c r="AA53" i="36"/>
  <c r="AA66" i="36" s="1"/>
  <c r="AD28" i="36"/>
  <c r="AC35" i="36"/>
  <c r="AC54" i="36"/>
  <c r="AC67" i="36" s="1"/>
  <c r="AC74" i="36" s="1"/>
  <c r="AB16" i="9" s="1"/>
  <c r="H14" i="2" s="1"/>
  <c r="AB61" i="36"/>
  <c r="R52" i="12"/>
  <c r="I83" i="2"/>
  <c r="G32" i="4"/>
  <c r="D9" i="4"/>
  <c r="H32" i="12"/>
  <c r="I8" i="12" s="1"/>
  <c r="I71" i="5"/>
  <c r="J45" i="5"/>
  <c r="I46" i="5"/>
  <c r="J57" i="5"/>
  <c r="J56" i="5"/>
  <c r="G53" i="5"/>
  <c r="G66" i="5" s="1"/>
  <c r="G16" i="5"/>
  <c r="G35" i="5"/>
  <c r="F17" i="8"/>
  <c r="F8" i="10"/>
  <c r="U56" i="6"/>
  <c r="E10" i="22"/>
  <c r="G10" i="25"/>
  <c r="I6" i="16"/>
  <c r="K17" i="8"/>
  <c r="K8" i="10"/>
  <c r="I5" i="17" s="1"/>
  <c r="L10" i="25"/>
  <c r="K21" i="10" s="1"/>
  <c r="E26" i="8"/>
  <c r="E25" i="9" s="1"/>
  <c r="C14" i="18"/>
  <c r="C40" i="18"/>
  <c r="N9" i="12"/>
  <c r="N33" i="12" s="1"/>
  <c r="N24" i="9"/>
  <c r="E13" i="9"/>
  <c r="C16" i="11" s="1"/>
  <c r="D38" i="4"/>
  <c r="D14" i="4"/>
  <c r="I59" i="5"/>
  <c r="E57" i="18"/>
  <c r="G56" i="18"/>
  <c r="F56" i="18"/>
  <c r="G55" i="18"/>
  <c r="F55" i="18"/>
  <c r="C13" i="17"/>
  <c r="C20" i="17"/>
  <c r="C19" i="17"/>
  <c r="P65" i="6"/>
  <c r="D6" i="16"/>
  <c r="H10" i="12"/>
  <c r="I28" i="9"/>
  <c r="I30" i="9" s="1"/>
  <c r="G54" i="12"/>
  <c r="F29" i="11"/>
  <c r="AH23" i="34" l="1"/>
  <c r="AC15" i="10" s="1"/>
  <c r="AC17" i="10" s="1"/>
  <c r="AQ61" i="6"/>
  <c r="AP63" i="6"/>
  <c r="AB11" i="9"/>
  <c r="Z15" i="11" s="1"/>
  <c r="AB28" i="8"/>
  <c r="H11" i="2"/>
  <c r="AC25" i="8"/>
  <c r="AC13" i="9" s="1"/>
  <c r="AA16" i="11" s="1"/>
  <c r="AC22" i="8"/>
  <c r="AC26" i="8"/>
  <c r="AC25" i="9" s="1"/>
  <c r="AA19" i="11" s="1"/>
  <c r="AI11" i="34"/>
  <c r="AI21" i="34"/>
  <c r="AD17" i="8"/>
  <c r="AI14" i="34"/>
  <c r="AI10" i="34"/>
  <c r="AI20" i="34"/>
  <c r="AI17" i="34"/>
  <c r="AI18" i="34"/>
  <c r="AI12" i="34"/>
  <c r="AI13" i="34"/>
  <c r="AI19" i="34"/>
  <c r="AN56" i="6"/>
  <c r="AI22" i="34"/>
  <c r="AI16" i="34"/>
  <c r="AI15" i="34"/>
  <c r="AD8" i="10"/>
  <c r="AD13" i="10" s="1"/>
  <c r="AN105" i="6"/>
  <c r="AN106" i="6" s="1"/>
  <c r="AE10" i="25"/>
  <c r="Z19" i="11"/>
  <c r="H23" i="2"/>
  <c r="Y15" i="11"/>
  <c r="AA12" i="11"/>
  <c r="AC21" i="10"/>
  <c r="AD12" i="25"/>
  <c r="AO67" i="6"/>
  <c r="AO65" i="6" s="1"/>
  <c r="AC13" i="10"/>
  <c r="AE28" i="36"/>
  <c r="AD35" i="36"/>
  <c r="AD27" i="36"/>
  <c r="AC40" i="36"/>
  <c r="AC53" i="36" s="1"/>
  <c r="AC66" i="36" s="1"/>
  <c r="AD54" i="36"/>
  <c r="AC61" i="36"/>
  <c r="E15" i="10"/>
  <c r="S52" i="12"/>
  <c r="D5" i="17"/>
  <c r="I10" i="12"/>
  <c r="I32" i="12"/>
  <c r="I34" i="12" s="1"/>
  <c r="J69" i="5"/>
  <c r="K43" i="5"/>
  <c r="J70" i="5"/>
  <c r="K44" i="5"/>
  <c r="I72" i="5"/>
  <c r="J58" i="5"/>
  <c r="D24" i="11"/>
  <c r="G17" i="8"/>
  <c r="F26" i="8"/>
  <c r="F25" i="8"/>
  <c r="F13" i="9" s="1"/>
  <c r="F22" i="8"/>
  <c r="V56" i="6"/>
  <c r="Q56" i="6"/>
  <c r="I39" i="18"/>
  <c r="G8" i="10"/>
  <c r="E5" i="17" s="1"/>
  <c r="I12" i="11"/>
  <c r="O9" i="12"/>
  <c r="O33" i="12" s="1"/>
  <c r="O24" i="9"/>
  <c r="D14" i="18"/>
  <c r="D40" i="18"/>
  <c r="P23" i="34"/>
  <c r="K23" i="34"/>
  <c r="I14" i="18"/>
  <c r="I40" i="18"/>
  <c r="J6" i="16"/>
  <c r="L17" i="8"/>
  <c r="L8" i="10"/>
  <c r="J5" i="17" s="1"/>
  <c r="M10" i="25"/>
  <c r="V65" i="6"/>
  <c r="K22" i="8"/>
  <c r="K11" i="9" s="1"/>
  <c r="K26" i="8"/>
  <c r="K25" i="9" s="1"/>
  <c r="K25" i="8"/>
  <c r="K13" i="9" s="1"/>
  <c r="G59" i="12"/>
  <c r="H31" i="10"/>
  <c r="D10" i="4"/>
  <c r="D11" i="4"/>
  <c r="H10" i="25"/>
  <c r="C19" i="11"/>
  <c r="D12" i="11"/>
  <c r="F21" i="10"/>
  <c r="D32" i="9"/>
  <c r="F57" i="18"/>
  <c r="G57" i="18"/>
  <c r="D13" i="17"/>
  <c r="D19" i="17"/>
  <c r="D20" i="17"/>
  <c r="Q65" i="6"/>
  <c r="E6" i="16"/>
  <c r="H34" i="12"/>
  <c r="H36" i="12" s="1"/>
  <c r="G27" i="11" s="1"/>
  <c r="AI23" i="34" l="1"/>
  <c r="AD15" i="10" s="1"/>
  <c r="AJ14" i="34"/>
  <c r="AJ21" i="34"/>
  <c r="AE8" i="10"/>
  <c r="AE13" i="10" s="1"/>
  <c r="AJ17" i="34"/>
  <c r="AE17" i="8"/>
  <c r="AJ18" i="34"/>
  <c r="AJ10" i="34"/>
  <c r="AJ20" i="34"/>
  <c r="AJ11" i="34"/>
  <c r="AJ12" i="34"/>
  <c r="AJ16" i="34"/>
  <c r="AO56" i="6"/>
  <c r="AJ15" i="34"/>
  <c r="AJ19" i="34"/>
  <c r="AJ22" i="34"/>
  <c r="AJ13" i="34"/>
  <c r="AF10" i="25"/>
  <c r="AO105" i="6"/>
  <c r="AO106" i="6" s="1"/>
  <c r="AD22" i="8"/>
  <c r="AD25" i="8"/>
  <c r="AD13" i="9" s="1"/>
  <c r="AB16" i="11" s="1"/>
  <c r="AD26" i="8"/>
  <c r="AD25" i="9" s="1"/>
  <c r="AB19" i="11" s="1"/>
  <c r="AE12" i="25"/>
  <c r="AB12" i="11"/>
  <c r="AD21" i="10"/>
  <c r="AD23" i="10" s="1"/>
  <c r="AC23" i="10"/>
  <c r="H9" i="2"/>
  <c r="AP67" i="6"/>
  <c r="AP65" i="6" s="1"/>
  <c r="AC11" i="9"/>
  <c r="AA15" i="11" s="1"/>
  <c r="AC28" i="8"/>
  <c r="AQ63" i="6"/>
  <c r="AR61" i="6"/>
  <c r="AE54" i="36"/>
  <c r="AD61" i="36"/>
  <c r="AE27" i="36"/>
  <c r="AD40" i="36"/>
  <c r="AD53" i="36" s="1"/>
  <c r="AD66" i="36" s="1"/>
  <c r="AD67" i="36"/>
  <c r="AD74" i="36" s="1"/>
  <c r="AC16" i="9" s="1"/>
  <c r="AF28" i="36"/>
  <c r="AE67" i="36"/>
  <c r="AE74" i="36" s="1"/>
  <c r="AD16" i="9" s="1"/>
  <c r="AE35" i="36"/>
  <c r="J28" i="9"/>
  <c r="J30" i="9" s="1"/>
  <c r="J8" i="12"/>
  <c r="P24" i="9"/>
  <c r="G22" i="2" s="1"/>
  <c r="P9" i="12"/>
  <c r="P33" i="12" s="1"/>
  <c r="F15" i="10"/>
  <c r="K15" i="10"/>
  <c r="T52" i="12"/>
  <c r="U101" i="6"/>
  <c r="F42" i="18"/>
  <c r="J71" i="5"/>
  <c r="K45" i="5"/>
  <c r="K57" i="5"/>
  <c r="J59" i="5"/>
  <c r="K56" i="5"/>
  <c r="J46" i="5"/>
  <c r="D51" i="4"/>
  <c r="F11" i="9"/>
  <c r="D15" i="11" s="1"/>
  <c r="W56" i="6"/>
  <c r="S56" i="6"/>
  <c r="R56" i="6"/>
  <c r="H8" i="10"/>
  <c r="F5" i="17" s="1"/>
  <c r="Q23" i="34"/>
  <c r="M8" i="10"/>
  <c r="K5" i="17" s="1"/>
  <c r="M17" i="8"/>
  <c r="K6" i="16"/>
  <c r="N10" i="25"/>
  <c r="W65" i="6"/>
  <c r="L21" i="10"/>
  <c r="J12" i="11"/>
  <c r="I36" i="12"/>
  <c r="H27" i="11" s="1"/>
  <c r="H29" i="11" s="1"/>
  <c r="I54" i="12"/>
  <c r="E14" i="18"/>
  <c r="E40" i="18"/>
  <c r="J14" i="18"/>
  <c r="J40" i="18"/>
  <c r="L22" i="8"/>
  <c r="L26" i="8"/>
  <c r="L25" i="9" s="1"/>
  <c r="J19" i="11" s="1"/>
  <c r="L25" i="8"/>
  <c r="L13" i="9" s="1"/>
  <c r="L23" i="34"/>
  <c r="V101" i="6"/>
  <c r="J32" i="12"/>
  <c r="K8" i="12" s="1"/>
  <c r="J10" i="12"/>
  <c r="D34" i="9"/>
  <c r="G25" i="8"/>
  <c r="G13" i="9" s="1"/>
  <c r="E16" i="11" s="1"/>
  <c r="G26" i="8"/>
  <c r="F25" i="9"/>
  <c r="D19" i="11" s="1"/>
  <c r="E12" i="11"/>
  <c r="G21" i="10"/>
  <c r="I10" i="25"/>
  <c r="D16" i="11"/>
  <c r="J10" i="25"/>
  <c r="E17" i="10"/>
  <c r="C12" i="17"/>
  <c r="G22" i="8"/>
  <c r="G11" i="9" s="1"/>
  <c r="I8" i="10"/>
  <c r="E13" i="17"/>
  <c r="E20" i="17"/>
  <c r="E19" i="17"/>
  <c r="R65" i="6"/>
  <c r="F6" i="16"/>
  <c r="H17" i="8"/>
  <c r="I17" i="8"/>
  <c r="G6" i="16"/>
  <c r="S65" i="6"/>
  <c r="H54" i="12"/>
  <c r="G29" i="11"/>
  <c r="AC25" i="10" l="1"/>
  <c r="AJ23" i="34"/>
  <c r="AD17" i="10"/>
  <c r="AE21" i="10"/>
  <c r="AE23" i="10" s="1"/>
  <c r="AC12" i="11"/>
  <c r="AF12" i="25"/>
  <c r="AQ67" i="6"/>
  <c r="AQ65" i="6" s="1"/>
  <c r="F21" i="4"/>
  <c r="AK12" i="34"/>
  <c r="AK19" i="34"/>
  <c r="AK17" i="34"/>
  <c r="AK22" i="34"/>
  <c r="AP56" i="6"/>
  <c r="AK20" i="34"/>
  <c r="AK15" i="34"/>
  <c r="AK13" i="34"/>
  <c r="AK21" i="34"/>
  <c r="AF17" i="8"/>
  <c r="AK11" i="34"/>
  <c r="AK18" i="34"/>
  <c r="AF8" i="10"/>
  <c r="AF13" i="10" s="1"/>
  <c r="AK14" i="34"/>
  <c r="AK16" i="34"/>
  <c r="AK10" i="34"/>
  <c r="AG10" i="25"/>
  <c r="AP105" i="6"/>
  <c r="AP106" i="6" s="1"/>
  <c r="AE15" i="10"/>
  <c r="AE17" i="10" s="1"/>
  <c r="AR63" i="6"/>
  <c r="AS61" i="6"/>
  <c r="AE25" i="8"/>
  <c r="AE13" i="9" s="1"/>
  <c r="AC16" i="11" s="1"/>
  <c r="AE22" i="8"/>
  <c r="AE26" i="8"/>
  <c r="AE25" i="9" s="1"/>
  <c r="AC19" i="11" s="1"/>
  <c r="AD11" i="9"/>
  <c r="AD28" i="8"/>
  <c r="M18" i="17"/>
  <c r="N19" i="17"/>
  <c r="G5" i="17"/>
  <c r="H19" i="17"/>
  <c r="I20" i="17"/>
  <c r="N18" i="17"/>
  <c r="H20" i="17"/>
  <c r="H18" i="17"/>
  <c r="I19" i="17"/>
  <c r="J20" i="17"/>
  <c r="I18" i="17"/>
  <c r="J19" i="17"/>
  <c r="K20" i="17"/>
  <c r="J18" i="17"/>
  <c r="K19" i="17"/>
  <c r="L20" i="17"/>
  <c r="K18" i="17"/>
  <c r="L19" i="17"/>
  <c r="M20" i="17"/>
  <c r="L18" i="17"/>
  <c r="M19" i="17"/>
  <c r="N20" i="17"/>
  <c r="H6" i="17"/>
  <c r="I6" i="17"/>
  <c r="J6" i="17"/>
  <c r="K6" i="17"/>
  <c r="L6" i="17"/>
  <c r="M6" i="17"/>
  <c r="N6" i="17"/>
  <c r="H13" i="17"/>
  <c r="I13" i="17"/>
  <c r="J13" i="17"/>
  <c r="K13" i="17"/>
  <c r="L13" i="17"/>
  <c r="M13" i="17"/>
  <c r="N13" i="17"/>
  <c r="I7" i="16"/>
  <c r="I11" i="16" s="1"/>
  <c r="I13" i="16" s="1"/>
  <c r="I17" i="18" s="1"/>
  <c r="I12" i="17"/>
  <c r="AG28" i="36"/>
  <c r="AF35" i="36"/>
  <c r="AF27" i="36"/>
  <c r="AE40" i="36"/>
  <c r="AE53" i="36" s="1"/>
  <c r="AE66" i="36" s="1"/>
  <c r="AF54" i="36"/>
  <c r="AE61" i="36"/>
  <c r="Q9" i="12"/>
  <c r="Q33" i="12" s="1"/>
  <c r="Q24" i="9"/>
  <c r="Q26" i="9" s="1"/>
  <c r="K17" i="10"/>
  <c r="I14" i="17" s="1"/>
  <c r="G15" i="10"/>
  <c r="L15" i="10"/>
  <c r="J12" i="17" s="1"/>
  <c r="U52" i="12"/>
  <c r="L10" i="10"/>
  <c r="J8" i="16" s="1"/>
  <c r="V103" i="6"/>
  <c r="K10" i="10"/>
  <c r="I7" i="17" s="1"/>
  <c r="U103" i="6"/>
  <c r="P101" i="6"/>
  <c r="D6" i="17"/>
  <c r="K69" i="5"/>
  <c r="L43" i="5"/>
  <c r="K70" i="5"/>
  <c r="L44" i="5"/>
  <c r="J72" i="5"/>
  <c r="K58" i="5"/>
  <c r="X56" i="6"/>
  <c r="E15" i="11"/>
  <c r="L11" i="9"/>
  <c r="R23" i="34"/>
  <c r="F14" i="18"/>
  <c r="F40" i="18"/>
  <c r="K28" i="9"/>
  <c r="K30" i="9" s="1"/>
  <c r="J34" i="12"/>
  <c r="G14" i="18"/>
  <c r="G40" i="18"/>
  <c r="N23" i="34"/>
  <c r="I59" i="12"/>
  <c r="J31" i="10"/>
  <c r="K12" i="11"/>
  <c r="M21" i="10"/>
  <c r="J16" i="11"/>
  <c r="M22" i="8"/>
  <c r="M26" i="8"/>
  <c r="M25" i="9" s="1"/>
  <c r="K19" i="11" s="1"/>
  <c r="M25" i="8"/>
  <c r="M13" i="9" s="1"/>
  <c r="M23" i="34"/>
  <c r="N17" i="8"/>
  <c r="N8" i="10"/>
  <c r="L5" i="17" s="1"/>
  <c r="L6" i="16"/>
  <c r="O10" i="25"/>
  <c r="X65" i="6"/>
  <c r="K14" i="18"/>
  <c r="K40" i="18"/>
  <c r="I31" i="10"/>
  <c r="G42" i="18" s="1"/>
  <c r="H59" i="12"/>
  <c r="H25" i="8"/>
  <c r="H13" i="9" s="1"/>
  <c r="H26" i="8"/>
  <c r="I25" i="8"/>
  <c r="I13" i="9" s="1"/>
  <c r="I26" i="8"/>
  <c r="D7" i="16"/>
  <c r="D39" i="18"/>
  <c r="E39" i="18"/>
  <c r="G12" i="11"/>
  <c r="I21" i="10"/>
  <c r="F12" i="11"/>
  <c r="H21" i="10"/>
  <c r="C62" i="18"/>
  <c r="C41" i="18"/>
  <c r="C14" i="17"/>
  <c r="R101" i="6"/>
  <c r="G25" i="9"/>
  <c r="E19" i="11" s="1"/>
  <c r="F17" i="10"/>
  <c r="D12" i="17"/>
  <c r="H22" i="8"/>
  <c r="I22" i="8"/>
  <c r="I11" i="9" s="1"/>
  <c r="F13" i="17"/>
  <c r="F20" i="17"/>
  <c r="F19" i="17"/>
  <c r="G13" i="17"/>
  <c r="G20" i="17"/>
  <c r="AD25" i="10" l="1"/>
  <c r="AK23" i="34"/>
  <c r="AF15" i="10" s="1"/>
  <c r="AR67" i="6"/>
  <c r="AR65" i="6" s="1"/>
  <c r="AL16" i="34"/>
  <c r="AH10" i="25"/>
  <c r="AL20" i="34"/>
  <c r="AL11" i="34"/>
  <c r="AL12" i="34"/>
  <c r="AL14" i="34"/>
  <c r="AL10" i="34"/>
  <c r="AL18" i="34"/>
  <c r="AL22" i="34"/>
  <c r="AL15" i="34"/>
  <c r="AQ56" i="6"/>
  <c r="AL13" i="34"/>
  <c r="AG17" i="8"/>
  <c r="AL17" i="34"/>
  <c r="AL21" i="34"/>
  <c r="AG8" i="10"/>
  <c r="AL19" i="34"/>
  <c r="AQ105" i="6"/>
  <c r="AQ106" i="6" s="1"/>
  <c r="AB15" i="11"/>
  <c r="AE25" i="10"/>
  <c r="AF25" i="8"/>
  <c r="AF13" i="9" s="1"/>
  <c r="AF22" i="8"/>
  <c r="AF26" i="8"/>
  <c r="AF25" i="9" s="1"/>
  <c r="AD19" i="11" s="1"/>
  <c r="AD12" i="11"/>
  <c r="AF21" i="10"/>
  <c r="AF23" i="10" s="1"/>
  <c r="AG12" i="25"/>
  <c r="AS63" i="6"/>
  <c r="AT61" i="6"/>
  <c r="AE11" i="9"/>
  <c r="AC15" i="11" s="1"/>
  <c r="AE28" i="8"/>
  <c r="J7" i="17"/>
  <c r="AG54" i="36"/>
  <c r="AF61" i="36"/>
  <c r="AF67" i="36"/>
  <c r="AF74" i="36" s="1"/>
  <c r="AE16" i="9" s="1"/>
  <c r="AG27" i="36"/>
  <c r="AF40" i="36"/>
  <c r="AF53" i="36" s="1"/>
  <c r="AF66" i="36" s="1"/>
  <c r="AH28" i="36"/>
  <c r="AG67" i="36"/>
  <c r="AG74" i="36" s="1"/>
  <c r="AF16" i="9" s="1"/>
  <c r="AG35" i="36"/>
  <c r="R9" i="12"/>
  <c r="R33" i="12" s="1"/>
  <c r="R24" i="9"/>
  <c r="R26" i="9" s="1"/>
  <c r="K11" i="10"/>
  <c r="L17" i="10"/>
  <c r="J14" i="17" s="1"/>
  <c r="I15" i="10"/>
  <c r="G7" i="16" s="1"/>
  <c r="G11" i="16" s="1"/>
  <c r="G13" i="16" s="1"/>
  <c r="G17" i="18" s="1"/>
  <c r="H15" i="10"/>
  <c r="M15" i="10"/>
  <c r="I62" i="18"/>
  <c r="I41" i="18"/>
  <c r="V52" i="12"/>
  <c r="H42" i="18"/>
  <c r="H10" i="10"/>
  <c r="F8" i="16" s="1"/>
  <c r="R103" i="6"/>
  <c r="F10" i="10"/>
  <c r="D8" i="16" s="1"/>
  <c r="P103" i="6"/>
  <c r="F18" i="8" s="1"/>
  <c r="U105" i="6"/>
  <c r="U106" i="6" s="1"/>
  <c r="K19" i="8"/>
  <c r="K24" i="8" s="1"/>
  <c r="K23" i="9" s="1"/>
  <c r="K26" i="9" s="1"/>
  <c r="K18" i="8"/>
  <c r="K23" i="8" s="1"/>
  <c r="L11" i="25"/>
  <c r="I8" i="16"/>
  <c r="I15" i="16" s="1"/>
  <c r="V105" i="6"/>
  <c r="V106" i="6" s="1"/>
  <c r="L19" i="8"/>
  <c r="L24" i="8" s="1"/>
  <c r="L23" i="9" s="1"/>
  <c r="M11" i="25"/>
  <c r="L18" i="8"/>
  <c r="L23" i="8" s="1"/>
  <c r="O8" i="10"/>
  <c r="M5" i="17" s="1"/>
  <c r="Q101" i="6"/>
  <c r="S101" i="6"/>
  <c r="K71" i="5"/>
  <c r="L45" i="5"/>
  <c r="L57" i="5"/>
  <c r="L56" i="5"/>
  <c r="K59" i="5"/>
  <c r="K46" i="5"/>
  <c r="H11" i="9"/>
  <c r="G15" i="11" s="1"/>
  <c r="Y56" i="6"/>
  <c r="T56" i="6"/>
  <c r="J36" i="12"/>
  <c r="I27" i="11" s="1"/>
  <c r="I29" i="11" s="1"/>
  <c r="J54" i="12"/>
  <c r="J39" i="18"/>
  <c r="J7" i="16"/>
  <c r="L11" i="10"/>
  <c r="J8" i="17" s="1"/>
  <c r="M6" i="16"/>
  <c r="O17" i="8"/>
  <c r="P10" i="25"/>
  <c r="Y65" i="6"/>
  <c r="S23" i="34"/>
  <c r="M11" i="9"/>
  <c r="K32" i="12"/>
  <c r="K10" i="12"/>
  <c r="N21" i="10"/>
  <c r="L12" i="11"/>
  <c r="J15" i="11"/>
  <c r="L14" i="18"/>
  <c r="L40" i="18"/>
  <c r="N22" i="8"/>
  <c r="N26" i="8"/>
  <c r="N25" i="9" s="1"/>
  <c r="L19" i="11" s="1"/>
  <c r="N25" i="8"/>
  <c r="N13" i="9" s="1"/>
  <c r="L16" i="11" s="1"/>
  <c r="K16" i="11"/>
  <c r="K39" i="18"/>
  <c r="J17" i="8"/>
  <c r="K10" i="25"/>
  <c r="H6" i="16"/>
  <c r="J8" i="10"/>
  <c r="H5" i="17" s="1"/>
  <c r="T65" i="6"/>
  <c r="G19" i="17"/>
  <c r="D11" i="16"/>
  <c r="D13" i="16" s="1"/>
  <c r="E6" i="17"/>
  <c r="E7" i="16"/>
  <c r="E11" i="16" s="1"/>
  <c r="E13" i="16" s="1"/>
  <c r="H25" i="9"/>
  <c r="F19" i="11" s="1"/>
  <c r="D62" i="18"/>
  <c r="D14" i="17"/>
  <c r="D41" i="18"/>
  <c r="G17" i="10"/>
  <c r="E12" i="17"/>
  <c r="I25" i="9"/>
  <c r="G16" i="11"/>
  <c r="F16" i="11"/>
  <c r="G39" i="18"/>
  <c r="G6" i="17"/>
  <c r="AF17" i="10" l="1"/>
  <c r="AG13" i="10"/>
  <c r="AL23" i="34"/>
  <c r="AU61" i="6"/>
  <c r="AT63" i="6"/>
  <c r="AG25" i="8"/>
  <c r="AG13" i="9" s="1"/>
  <c r="AE16" i="11" s="1"/>
  <c r="AG22" i="8"/>
  <c r="AG26" i="8"/>
  <c r="AG25" i="9" s="1"/>
  <c r="AE19" i="11" s="1"/>
  <c r="AS67" i="6"/>
  <c r="AS65" i="6"/>
  <c r="AD16" i="11"/>
  <c r="AE12" i="11"/>
  <c r="AG21" i="10"/>
  <c r="AG23" i="10" s="1"/>
  <c r="AH12" i="25"/>
  <c r="AF11" i="9"/>
  <c r="AD15" i="11" s="1"/>
  <c r="AF28" i="8"/>
  <c r="AM14" i="34"/>
  <c r="AM18" i="34"/>
  <c r="AM13" i="34"/>
  <c r="AM21" i="34"/>
  <c r="AM17" i="34"/>
  <c r="AM16" i="34"/>
  <c r="AI10" i="25"/>
  <c r="AM20" i="34"/>
  <c r="AM12" i="34"/>
  <c r="AM19" i="34"/>
  <c r="AH8" i="10"/>
  <c r="AH13" i="10" s="1"/>
  <c r="AH17" i="8"/>
  <c r="AM11" i="34"/>
  <c r="AM10" i="34"/>
  <c r="AR56" i="6"/>
  <c r="AM15" i="34"/>
  <c r="AM22" i="34"/>
  <c r="AR105" i="6"/>
  <c r="AR106" i="6" s="1"/>
  <c r="I38" i="18"/>
  <c r="I8" i="17"/>
  <c r="K7" i="16"/>
  <c r="K11" i="16" s="1"/>
  <c r="K13" i="16" s="1"/>
  <c r="K12" i="17"/>
  <c r="AI28" i="36"/>
  <c r="AH35" i="36"/>
  <c r="AH27" i="36"/>
  <c r="AG40" i="36"/>
  <c r="AG53" i="36" s="1"/>
  <c r="AG66" i="36" s="1"/>
  <c r="AH54" i="36"/>
  <c r="AG61" i="36"/>
  <c r="S9" i="12"/>
  <c r="S33" i="12" s="1"/>
  <c r="S24" i="9"/>
  <c r="S26" i="9" s="1"/>
  <c r="K13" i="10"/>
  <c r="I10" i="17" s="1"/>
  <c r="M17" i="10"/>
  <c r="K14" i="17" s="1"/>
  <c r="J62" i="18"/>
  <c r="J41" i="18"/>
  <c r="W52" i="12"/>
  <c r="D9" i="16"/>
  <c r="D15" i="16"/>
  <c r="N15" i="10"/>
  <c r="I9" i="16"/>
  <c r="G10" i="10"/>
  <c r="Q103" i="6"/>
  <c r="I13" i="11"/>
  <c r="K22" i="10"/>
  <c r="K23" i="10" s="1"/>
  <c r="L12" i="25"/>
  <c r="K12" i="9"/>
  <c r="K28" i="8"/>
  <c r="I25" i="18" s="1"/>
  <c r="L12" i="9"/>
  <c r="L28" i="8"/>
  <c r="J25" i="18" s="1"/>
  <c r="M12" i="25"/>
  <c r="J13" i="11"/>
  <c r="L22" i="10"/>
  <c r="L23" i="10" s="1"/>
  <c r="P105" i="6"/>
  <c r="P106" i="6" s="1"/>
  <c r="G11" i="25"/>
  <c r="F19" i="8"/>
  <c r="F24" i="8" s="1"/>
  <c r="F23" i="9" s="1"/>
  <c r="F26" i="9" s="1"/>
  <c r="F23" i="8"/>
  <c r="D7" i="17"/>
  <c r="F11" i="10"/>
  <c r="R105" i="6"/>
  <c r="R106" i="6" s="1"/>
  <c r="I11" i="25"/>
  <c r="H18" i="8"/>
  <c r="H23" i="8" s="1"/>
  <c r="H19" i="8"/>
  <c r="H24" i="8" s="1"/>
  <c r="H23" i="9" s="1"/>
  <c r="L26" i="9"/>
  <c r="J18" i="11"/>
  <c r="I10" i="10"/>
  <c r="K12" i="22" s="1"/>
  <c r="S103" i="6"/>
  <c r="F7" i="17"/>
  <c r="W101" i="6"/>
  <c r="X101" i="6"/>
  <c r="L70" i="5"/>
  <c r="M44" i="5"/>
  <c r="L69" i="5"/>
  <c r="M43" i="5"/>
  <c r="K72" i="5"/>
  <c r="L58" i="5"/>
  <c r="F15" i="11"/>
  <c r="L13" i="10"/>
  <c r="J10" i="17" s="1"/>
  <c r="J38" i="18"/>
  <c r="L39" i="18"/>
  <c r="O23" i="34"/>
  <c r="K15" i="11"/>
  <c r="J11" i="16"/>
  <c r="J13" i="16" s="1"/>
  <c r="J9" i="16"/>
  <c r="M12" i="11"/>
  <c r="O21" i="10"/>
  <c r="J59" i="12"/>
  <c r="K31" i="10"/>
  <c r="N11" i="9"/>
  <c r="L8" i="12"/>
  <c r="L28" i="9"/>
  <c r="L30" i="9" s="1"/>
  <c r="K34" i="12"/>
  <c r="T23" i="34"/>
  <c r="H14" i="18"/>
  <c r="H40" i="18"/>
  <c r="O22" i="8"/>
  <c r="O25" i="8"/>
  <c r="O13" i="9" s="1"/>
  <c r="O26" i="8"/>
  <c r="O25" i="9" s="1"/>
  <c r="M19" i="11" s="1"/>
  <c r="M14" i="18"/>
  <c r="M40" i="18"/>
  <c r="H12" i="11"/>
  <c r="J21" i="10"/>
  <c r="J22" i="8"/>
  <c r="J25" i="8"/>
  <c r="J13" i="9" s="1"/>
  <c r="I16" i="11" s="1"/>
  <c r="J26" i="8"/>
  <c r="J25" i="9" s="1"/>
  <c r="F39" i="18"/>
  <c r="H11" i="10"/>
  <c r="F6" i="17"/>
  <c r="F7" i="16"/>
  <c r="F11" i="16" s="1"/>
  <c r="F13" i="16" s="1"/>
  <c r="G19" i="11"/>
  <c r="E62" i="18"/>
  <c r="E41" i="18"/>
  <c r="E14" i="17"/>
  <c r="I17" i="10"/>
  <c r="G12" i="17"/>
  <c r="H17" i="10"/>
  <c r="F12" i="17"/>
  <c r="D17" i="18"/>
  <c r="E17" i="18"/>
  <c r="AG15" i="10" l="1"/>
  <c r="AG17" i="10" s="1"/>
  <c r="AG25" i="10" s="1"/>
  <c r="AM23" i="34"/>
  <c r="AF25" i="10"/>
  <c r="AH25" i="8"/>
  <c r="AH13" i="9" s="1"/>
  <c r="AH22" i="8"/>
  <c r="AH26" i="8"/>
  <c r="AH25" i="9" s="1"/>
  <c r="AF19" i="11" s="1"/>
  <c r="AG11" i="9"/>
  <c r="AG28" i="8"/>
  <c r="AT67" i="6"/>
  <c r="AT65" i="6" s="1"/>
  <c r="AF12" i="11"/>
  <c r="AH21" i="10"/>
  <c r="AH23" i="10" s="1"/>
  <c r="AI12" i="25"/>
  <c r="AN19" i="34"/>
  <c r="AN13" i="34"/>
  <c r="AN20" i="34"/>
  <c r="AN12" i="34"/>
  <c r="AS56" i="6"/>
  <c r="AN11" i="34"/>
  <c r="AN10" i="34"/>
  <c r="AN21" i="34"/>
  <c r="AI8" i="10"/>
  <c r="AN18" i="34"/>
  <c r="AJ10" i="25"/>
  <c r="AN16" i="34"/>
  <c r="AN22" i="34"/>
  <c r="AI17" i="8"/>
  <c r="AN14" i="34"/>
  <c r="AN17" i="34"/>
  <c r="AN15" i="34"/>
  <c r="AS105" i="6"/>
  <c r="AS106" i="6" s="1"/>
  <c r="AU63" i="6"/>
  <c r="AV61" i="6"/>
  <c r="L7" i="16"/>
  <c r="L11" i="16" s="1"/>
  <c r="L13" i="16" s="1"/>
  <c r="L12" i="17"/>
  <c r="K25" i="10"/>
  <c r="I16" i="17" s="1"/>
  <c r="AI54" i="36"/>
  <c r="AH61" i="36"/>
  <c r="AH40" i="36"/>
  <c r="AH53" i="36" s="1"/>
  <c r="AH66" i="36" s="1"/>
  <c r="AI27" i="36"/>
  <c r="AH67" i="36"/>
  <c r="AH74" i="36" s="1"/>
  <c r="AG16" i="9" s="1"/>
  <c r="AI67" i="36"/>
  <c r="AI74" i="36" s="1"/>
  <c r="AH16" i="9" s="1"/>
  <c r="AJ28" i="36"/>
  <c r="AI35" i="36"/>
  <c r="T9" i="12"/>
  <c r="T33" i="12" s="1"/>
  <c r="T24" i="9"/>
  <c r="T26" i="9" s="1"/>
  <c r="J8" i="18"/>
  <c r="I8" i="18"/>
  <c r="J15" i="10"/>
  <c r="N17" i="10"/>
  <c r="L14" i="17" s="1"/>
  <c r="K41" i="18"/>
  <c r="K62" i="18"/>
  <c r="X52" i="12"/>
  <c r="O15" i="10"/>
  <c r="E8" i="16"/>
  <c r="E9" i="16" s="1"/>
  <c r="G11" i="10"/>
  <c r="G13" i="10" s="1"/>
  <c r="E8" i="18" s="1"/>
  <c r="E7" i="17"/>
  <c r="J17" i="11"/>
  <c r="G8" i="16"/>
  <c r="G9" i="16" s="1"/>
  <c r="G7" i="17"/>
  <c r="G12" i="25"/>
  <c r="D13" i="11"/>
  <c r="F22" i="10"/>
  <c r="F23" i="10" s="1"/>
  <c r="H28" i="8"/>
  <c r="F25" i="18" s="1"/>
  <c r="H12" i="9"/>
  <c r="F13" i="11"/>
  <c r="H22" i="10"/>
  <c r="H23" i="10" s="1"/>
  <c r="I12" i="25"/>
  <c r="S105" i="6"/>
  <c r="S106" i="6" s="1"/>
  <c r="I18" i="8"/>
  <c r="I23" i="8" s="1"/>
  <c r="I19" i="8"/>
  <c r="I24" i="8" s="1"/>
  <c r="I23" i="9" s="1"/>
  <c r="J11" i="25"/>
  <c r="F13" i="10"/>
  <c r="D38" i="18"/>
  <c r="D8" i="17"/>
  <c r="Q105" i="6"/>
  <c r="Q106" i="6" s="1"/>
  <c r="H11" i="25"/>
  <c r="G18" i="8"/>
  <c r="G23" i="8" s="1"/>
  <c r="G19" i="8"/>
  <c r="G24" i="8" s="1"/>
  <c r="G23" i="9" s="1"/>
  <c r="N10" i="10"/>
  <c r="L7" i="17" s="1"/>
  <c r="X103" i="6"/>
  <c r="I11" i="10"/>
  <c r="G8" i="17" s="1"/>
  <c r="H26" i="9"/>
  <c r="M10" i="10"/>
  <c r="K7" i="17" s="1"/>
  <c r="W103" i="6"/>
  <c r="F12" i="9"/>
  <c r="F28" i="8"/>
  <c r="D25" i="18" s="1"/>
  <c r="T101" i="6"/>
  <c r="Y101" i="6"/>
  <c r="L71" i="5"/>
  <c r="M45" i="5"/>
  <c r="L46" i="5"/>
  <c r="M56" i="5"/>
  <c r="L59" i="5"/>
  <c r="M57" i="5"/>
  <c r="H39" i="18"/>
  <c r="K36" i="12"/>
  <c r="J27" i="11" s="1"/>
  <c r="J29" i="11" s="1"/>
  <c r="K54" i="12"/>
  <c r="I42" i="18"/>
  <c r="L15" i="11"/>
  <c r="L10" i="12"/>
  <c r="L32" i="12"/>
  <c r="M39" i="18"/>
  <c r="K17" i="18"/>
  <c r="M16" i="11"/>
  <c r="J15" i="16"/>
  <c r="J17" i="18"/>
  <c r="O11" i="9"/>
  <c r="L25" i="10"/>
  <c r="J16" i="17" s="1"/>
  <c r="I19" i="11"/>
  <c r="H16" i="11"/>
  <c r="J11" i="9"/>
  <c r="H19" i="11"/>
  <c r="H13" i="10"/>
  <c r="F38" i="18"/>
  <c r="F8" i="17"/>
  <c r="F9" i="16"/>
  <c r="G62" i="18"/>
  <c r="G41" i="18"/>
  <c r="G14" i="17"/>
  <c r="F62" i="18"/>
  <c r="F41" i="18"/>
  <c r="F14" i="17"/>
  <c r="F15" i="16"/>
  <c r="F17" i="18"/>
  <c r="AH15" i="10" l="1"/>
  <c r="AH17" i="10" s="1"/>
  <c r="AH25" i="10" s="1"/>
  <c r="AI13" i="10"/>
  <c r="AN23" i="34"/>
  <c r="AI25" i="8"/>
  <c r="AI13" i="9" s="1"/>
  <c r="AG16" i="11" s="1"/>
  <c r="AI22" i="8"/>
  <c r="AI26" i="8"/>
  <c r="AI25" i="9" s="1"/>
  <c r="AG19" i="11" s="1"/>
  <c r="AW61" i="6"/>
  <c r="AV63" i="6"/>
  <c r="AO17" i="34"/>
  <c r="AO21" i="34"/>
  <c r="AO19" i="34"/>
  <c r="AO16" i="34"/>
  <c r="AK10" i="25"/>
  <c r="AJ8" i="10"/>
  <c r="AJ13" i="10" s="1"/>
  <c r="AO13" i="34"/>
  <c r="AO18" i="34"/>
  <c r="AT56" i="6"/>
  <c r="AO22" i="34"/>
  <c r="AO20" i="34"/>
  <c r="AO15" i="34"/>
  <c r="AO12" i="34"/>
  <c r="AJ17" i="8"/>
  <c r="AO11" i="34"/>
  <c r="AO10" i="34"/>
  <c r="AO14" i="34"/>
  <c r="AT105" i="6"/>
  <c r="AT106" i="6" s="1"/>
  <c r="AU67" i="6"/>
  <c r="AI21" i="10"/>
  <c r="AI23" i="10" s="1"/>
  <c r="AG12" i="11"/>
  <c r="AJ12" i="25"/>
  <c r="AE15" i="11"/>
  <c r="AH11" i="9"/>
  <c r="AH28" i="8"/>
  <c r="AF16" i="11"/>
  <c r="I10" i="28"/>
  <c r="I8" i="28"/>
  <c r="I60" i="18"/>
  <c r="I9" i="18"/>
  <c r="I9" i="28"/>
  <c r="M7" i="16"/>
  <c r="M11" i="16" s="1"/>
  <c r="M13" i="16" s="1"/>
  <c r="M12" i="17"/>
  <c r="I16" i="18"/>
  <c r="H7" i="16"/>
  <c r="H11" i="16" s="1"/>
  <c r="H13" i="16" s="1"/>
  <c r="H17" i="18" s="1"/>
  <c r="H12" i="17"/>
  <c r="AK28" i="36"/>
  <c r="AJ35" i="36"/>
  <c r="AI40" i="36"/>
  <c r="AI53" i="36" s="1"/>
  <c r="AI66" i="36" s="1"/>
  <c r="AJ27" i="36"/>
  <c r="AJ54" i="36"/>
  <c r="AI61" i="36"/>
  <c r="U9" i="12"/>
  <c r="U33" i="12" s="1"/>
  <c r="U24" i="9"/>
  <c r="U26" i="9" s="1"/>
  <c r="L8" i="16"/>
  <c r="L9" i="16" s="1"/>
  <c r="M11" i="10"/>
  <c r="O17" i="10"/>
  <c r="M14" i="17" s="1"/>
  <c r="L62" i="18"/>
  <c r="L41" i="18"/>
  <c r="J17" i="10"/>
  <c r="H14" i="17" s="1"/>
  <c r="Y52" i="12"/>
  <c r="E15" i="16"/>
  <c r="E10" i="17"/>
  <c r="E8" i="17"/>
  <c r="E38" i="18"/>
  <c r="I13" i="10"/>
  <c r="G10" i="17" s="1"/>
  <c r="G38" i="18"/>
  <c r="K8" i="16"/>
  <c r="K9" i="16" s="1"/>
  <c r="G15" i="16"/>
  <c r="W105" i="6"/>
  <c r="W106" i="6" s="1"/>
  <c r="M19" i="8"/>
  <c r="M24" i="8" s="1"/>
  <c r="M23" i="9" s="1"/>
  <c r="N11" i="25"/>
  <c r="M18" i="8"/>
  <c r="M23" i="8" s="1"/>
  <c r="H12" i="25"/>
  <c r="E13" i="11"/>
  <c r="G22" i="10"/>
  <c r="G23" i="10" s="1"/>
  <c r="G25" i="10" s="1"/>
  <c r="E16" i="18" s="1"/>
  <c r="O10" i="10"/>
  <c r="M7" i="17" s="1"/>
  <c r="Y103" i="6"/>
  <c r="X105" i="6"/>
  <c r="N18" i="8"/>
  <c r="N23" i="8" s="1"/>
  <c r="N19" i="8"/>
  <c r="N24" i="8" s="1"/>
  <c r="N23" i="9" s="1"/>
  <c r="O11" i="25"/>
  <c r="D8" i="18"/>
  <c r="F25" i="10"/>
  <c r="D10" i="28" s="1"/>
  <c r="D10" i="17"/>
  <c r="J10" i="10"/>
  <c r="H7" i="17" s="1"/>
  <c r="T103" i="6"/>
  <c r="J12" i="25"/>
  <c r="I22" i="10"/>
  <c r="I23" i="10" s="1"/>
  <c r="G13" i="11"/>
  <c r="E18" i="11"/>
  <c r="G26" i="9"/>
  <c r="G18" i="11"/>
  <c r="I26" i="9"/>
  <c r="G12" i="9"/>
  <c r="F17" i="11" s="1"/>
  <c r="G28" i="8"/>
  <c r="E25" i="18" s="1"/>
  <c r="I12" i="9"/>
  <c r="I28" i="8"/>
  <c r="G25" i="18" s="1"/>
  <c r="F18" i="11"/>
  <c r="F8" i="18"/>
  <c r="M70" i="5"/>
  <c r="N44" i="5"/>
  <c r="M69" i="5"/>
  <c r="N43" i="5"/>
  <c r="L72" i="5"/>
  <c r="N11" i="10"/>
  <c r="L8" i="17" s="1"/>
  <c r="M15" i="11"/>
  <c r="J9" i="18"/>
  <c r="J8" i="28"/>
  <c r="J16" i="18"/>
  <c r="J9" i="28"/>
  <c r="M8" i="12"/>
  <c r="M28" i="9"/>
  <c r="M30" i="9" s="1"/>
  <c r="L34" i="12"/>
  <c r="L17" i="18"/>
  <c r="K59" i="12"/>
  <c r="L31" i="10"/>
  <c r="I15" i="11"/>
  <c r="H15" i="11"/>
  <c r="F10" i="17"/>
  <c r="H25" i="10"/>
  <c r="AI15" i="10" l="1"/>
  <c r="AI17" i="10" s="1"/>
  <c r="AI25" i="10" s="1"/>
  <c r="AO23" i="34"/>
  <c r="AJ15" i="10" s="1"/>
  <c r="AJ17" i="10" s="1"/>
  <c r="AU56" i="6"/>
  <c r="AP22" i="34"/>
  <c r="AP12" i="34"/>
  <c r="AK17" i="8"/>
  <c r="AL10" i="25"/>
  <c r="AK8" i="10"/>
  <c r="AK13" i="10" s="1"/>
  <c r="AP10" i="34"/>
  <c r="AP13" i="34"/>
  <c r="AP14" i="34"/>
  <c r="AP11" i="34"/>
  <c r="AP19" i="34"/>
  <c r="AP18" i="34"/>
  <c r="AP15" i="34"/>
  <c r="AP21" i="34"/>
  <c r="AP16" i="34"/>
  <c r="AP17" i="34"/>
  <c r="AP20" i="34"/>
  <c r="AU105" i="6"/>
  <c r="AU106" i="6" s="1"/>
  <c r="AF15" i="11"/>
  <c r="AV67" i="6"/>
  <c r="AV65" i="6" s="1"/>
  <c r="AW63" i="6"/>
  <c r="AX61" i="6"/>
  <c r="AX63" i="6" s="1"/>
  <c r="AJ22" i="8"/>
  <c r="AJ25" i="8"/>
  <c r="AJ13" i="9" s="1"/>
  <c r="AJ26" i="8"/>
  <c r="AJ25" i="9" s="1"/>
  <c r="AH19" i="11" s="1"/>
  <c r="AJ21" i="10"/>
  <c r="AJ23" i="10" s="1"/>
  <c r="AH12" i="11"/>
  <c r="AK12" i="25"/>
  <c r="AI11" i="9"/>
  <c r="AG15" i="11" s="1"/>
  <c r="AI28" i="8"/>
  <c r="AU65" i="6"/>
  <c r="K38" i="18"/>
  <c r="K8" i="17"/>
  <c r="L15" i="16"/>
  <c r="AK54" i="36"/>
  <c r="AJ61" i="36"/>
  <c r="AJ40" i="36"/>
  <c r="AJ53" i="36" s="1"/>
  <c r="AK27" i="36"/>
  <c r="AJ66" i="36"/>
  <c r="AK67" i="36"/>
  <c r="AK74" i="36" s="1"/>
  <c r="AJ16" i="9" s="1"/>
  <c r="AL28" i="36"/>
  <c r="AK35" i="36"/>
  <c r="AJ67" i="36"/>
  <c r="AJ74" i="36" s="1"/>
  <c r="AI16" i="9" s="1"/>
  <c r="V9" i="12"/>
  <c r="V33" i="12" s="1"/>
  <c r="V24" i="9"/>
  <c r="V26" i="9" s="1"/>
  <c r="N13" i="10"/>
  <c r="L10" i="17" s="1"/>
  <c r="J11" i="10"/>
  <c r="H8" i="17" s="1"/>
  <c r="M13" i="10"/>
  <c r="K10" i="17" s="1"/>
  <c r="M8" i="16"/>
  <c r="M9" i="16" s="1"/>
  <c r="H62" i="18"/>
  <c r="H41" i="18"/>
  <c r="M41" i="18"/>
  <c r="M62" i="18"/>
  <c r="Z52" i="12"/>
  <c r="J42" i="18"/>
  <c r="X106" i="6"/>
  <c r="I25" i="10"/>
  <c r="G8" i="28" s="1"/>
  <c r="E9" i="18"/>
  <c r="G8" i="18"/>
  <c r="K15" i="16"/>
  <c r="O11" i="10"/>
  <c r="M8" i="17" s="1"/>
  <c r="H8" i="16"/>
  <c r="H9" i="16" s="1"/>
  <c r="E10" i="28"/>
  <c r="E8" i="28"/>
  <c r="E9" i="28"/>
  <c r="D16" i="18"/>
  <c r="D60" i="18"/>
  <c r="D8" i="28"/>
  <c r="D9" i="18"/>
  <c r="D9" i="28"/>
  <c r="D16" i="17"/>
  <c r="E16" i="17"/>
  <c r="T105" i="6"/>
  <c r="T106" i="6" s="1"/>
  <c r="J18" i="8"/>
  <c r="J23" i="8" s="1"/>
  <c r="J19" i="8"/>
  <c r="J24" i="8" s="1"/>
  <c r="J23" i="9" s="1"/>
  <c r="K11" i="25"/>
  <c r="N12" i="9"/>
  <c r="N28" i="8"/>
  <c r="L25" i="18" s="1"/>
  <c r="M12" i="9"/>
  <c r="M28" i="8"/>
  <c r="K25" i="18" s="1"/>
  <c r="O12" i="25"/>
  <c r="N22" i="10"/>
  <c r="N23" i="10" s="1"/>
  <c r="L13" i="11"/>
  <c r="E60" i="18"/>
  <c r="N12" i="25"/>
  <c r="M22" i="10"/>
  <c r="M23" i="10" s="1"/>
  <c r="K13" i="11"/>
  <c r="E17" i="11"/>
  <c r="N26" i="9"/>
  <c r="L18" i="11"/>
  <c r="G17" i="11"/>
  <c r="Y105" i="6"/>
  <c r="Y106" i="6" s="1"/>
  <c r="P11" i="25"/>
  <c r="O18" i="8"/>
  <c r="O23" i="8" s="1"/>
  <c r="O19" i="8"/>
  <c r="O24" i="8" s="1"/>
  <c r="O23" i="9" s="1"/>
  <c r="K18" i="11"/>
  <c r="M26" i="9"/>
  <c r="M46" i="5"/>
  <c r="M58" i="5"/>
  <c r="N56" i="5"/>
  <c r="M59" i="5"/>
  <c r="N57" i="5"/>
  <c r="L38" i="18"/>
  <c r="J10" i="28"/>
  <c r="J60" i="18"/>
  <c r="M32" i="12"/>
  <c r="M10" i="12"/>
  <c r="M17" i="18"/>
  <c r="L36" i="12"/>
  <c r="K27" i="11" s="1"/>
  <c r="K29" i="11" s="1"/>
  <c r="L54" i="12"/>
  <c r="F60" i="18"/>
  <c r="F16" i="18"/>
  <c r="F8" i="28"/>
  <c r="F10" i="28"/>
  <c r="F9" i="18"/>
  <c r="F9" i="28"/>
  <c r="F16" i="17"/>
  <c r="AJ25" i="10" l="1"/>
  <c r="AP23" i="34"/>
  <c r="AK15" i="10" s="1"/>
  <c r="AK17" i="10" s="1"/>
  <c r="AQ22" i="34"/>
  <c r="AQ21" i="34"/>
  <c r="AM10" i="25"/>
  <c r="AL17" i="8"/>
  <c r="AQ16" i="34"/>
  <c r="AQ14" i="34"/>
  <c r="AQ13" i="34"/>
  <c r="AQ15" i="34"/>
  <c r="AQ19" i="34"/>
  <c r="AQ18" i="34"/>
  <c r="AQ12" i="34"/>
  <c r="AQ20" i="34"/>
  <c r="AV56" i="6"/>
  <c r="AQ17" i="34"/>
  <c r="AQ11" i="34"/>
  <c r="AQ10" i="34"/>
  <c r="AL8" i="10"/>
  <c r="AL13" i="10" s="1"/>
  <c r="AV105" i="6"/>
  <c r="AV106" i="6" s="1"/>
  <c r="AI12" i="11"/>
  <c r="AK21" i="10"/>
  <c r="AK23" i="10" s="1"/>
  <c r="AL12" i="25"/>
  <c r="AK25" i="8"/>
  <c r="AK13" i="9" s="1"/>
  <c r="AI16" i="11" s="1"/>
  <c r="AK22" i="8"/>
  <c r="AK26" i="8"/>
  <c r="AK25" i="9" s="1"/>
  <c r="AI19" i="11" s="1"/>
  <c r="AJ11" i="9"/>
  <c r="AJ28" i="8"/>
  <c r="AH16" i="11"/>
  <c r="AX67" i="6"/>
  <c r="AX65" i="6" s="1"/>
  <c r="AW67" i="6"/>
  <c r="AW65" i="6" s="1"/>
  <c r="J13" i="10"/>
  <c r="H10" i="17" s="1"/>
  <c r="H38" i="18"/>
  <c r="N25" i="10"/>
  <c r="L16" i="17" s="1"/>
  <c r="AM28" i="36"/>
  <c r="AL35" i="36"/>
  <c r="AK40" i="36"/>
  <c r="AK53" i="36" s="1"/>
  <c r="AK66" i="36" s="1"/>
  <c r="AL27" i="36"/>
  <c r="AL54" i="36"/>
  <c r="AK61" i="36"/>
  <c r="W9" i="12"/>
  <c r="W33" i="12" s="1"/>
  <c r="W24" i="9"/>
  <c r="W26" i="9" s="1"/>
  <c r="M15" i="16"/>
  <c r="M25" i="10"/>
  <c r="K8" i="28" s="1"/>
  <c r="K8" i="18"/>
  <c r="M38" i="18"/>
  <c r="L8" i="18"/>
  <c r="G10" i="28"/>
  <c r="G16" i="18"/>
  <c r="G9" i="18"/>
  <c r="G16" i="17"/>
  <c r="G60" i="18"/>
  <c r="G9" i="28"/>
  <c r="AA52" i="12"/>
  <c r="O13" i="10"/>
  <c r="M10" i="17" s="1"/>
  <c r="H15" i="16"/>
  <c r="I18" i="11"/>
  <c r="H18" i="11"/>
  <c r="J26" i="9"/>
  <c r="M18" i="11"/>
  <c r="O26" i="9"/>
  <c r="L17" i="11"/>
  <c r="K17" i="11"/>
  <c r="P12" i="25"/>
  <c r="M13" i="11"/>
  <c r="O22" i="10"/>
  <c r="O23" i="10" s="1"/>
  <c r="O12" i="9"/>
  <c r="M17" i="11" s="1"/>
  <c r="O28" i="8"/>
  <c r="M25" i="18" s="1"/>
  <c r="J12" i="9"/>
  <c r="J28" i="8"/>
  <c r="H25" i="18" s="1"/>
  <c r="H13" i="11"/>
  <c r="K12" i="25"/>
  <c r="J22" i="10"/>
  <c r="J23" i="10" s="1"/>
  <c r="N69" i="5"/>
  <c r="O43" i="5"/>
  <c r="N70" i="5"/>
  <c r="O44" i="5"/>
  <c r="O57" i="5" s="1"/>
  <c r="M71" i="5"/>
  <c r="N45" i="5"/>
  <c r="M72" i="5"/>
  <c r="N46" i="5"/>
  <c r="N8" i="12"/>
  <c r="N28" i="9"/>
  <c r="N30" i="9" s="1"/>
  <c r="M34" i="12"/>
  <c r="L59" i="12"/>
  <c r="M31" i="10"/>
  <c r="J25" i="10" l="1"/>
  <c r="H16" i="17" s="1"/>
  <c r="AQ23" i="34"/>
  <c r="AS12" i="34"/>
  <c r="AS20" i="34"/>
  <c r="AS13" i="34"/>
  <c r="AS18" i="34"/>
  <c r="AS17" i="34"/>
  <c r="AS15" i="34"/>
  <c r="AX56" i="6"/>
  <c r="AS10" i="34"/>
  <c r="AS14" i="34"/>
  <c r="AS16" i="34"/>
  <c r="AS19" i="34"/>
  <c r="AO10" i="25"/>
  <c r="AS22" i="34"/>
  <c r="AS21" i="34"/>
  <c r="AN17" i="8"/>
  <c r="AS11" i="34"/>
  <c r="AN8" i="10"/>
  <c r="AX105" i="6"/>
  <c r="AX106" i="6" s="1"/>
  <c r="AL22" i="8"/>
  <c r="AL25" i="8"/>
  <c r="AL13" i="9" s="1"/>
  <c r="AL26" i="8"/>
  <c r="AL25" i="9" s="1"/>
  <c r="AJ19" i="11" s="1"/>
  <c r="AH15" i="11"/>
  <c r="AJ12" i="11"/>
  <c r="AL21" i="10"/>
  <c r="AL23" i="10" s="1"/>
  <c r="AM12" i="25"/>
  <c r="AK25" i="10"/>
  <c r="AR11" i="34"/>
  <c r="AR21" i="34"/>
  <c r="AR10" i="34"/>
  <c r="AR17" i="34"/>
  <c r="AR13" i="34"/>
  <c r="AM17" i="8"/>
  <c r="AN10" i="25"/>
  <c r="AR16" i="34"/>
  <c r="AR15" i="34"/>
  <c r="AR14" i="34"/>
  <c r="AW56" i="6"/>
  <c r="AR18" i="34"/>
  <c r="AR19" i="34"/>
  <c r="AR12" i="34"/>
  <c r="AR20" i="34"/>
  <c r="AM8" i="10"/>
  <c r="AM13" i="10" s="1"/>
  <c r="AR22" i="34"/>
  <c r="AW105" i="6"/>
  <c r="AW106" i="6" s="1"/>
  <c r="AK11" i="9"/>
  <c r="AK28" i="8"/>
  <c r="L9" i="28"/>
  <c r="L16" i="18"/>
  <c r="H8" i="18"/>
  <c r="L8" i="28"/>
  <c r="L9" i="18"/>
  <c r="K16" i="18"/>
  <c r="K16" i="17"/>
  <c r="AM54" i="36"/>
  <c r="AL61" i="36"/>
  <c r="AL40" i="36"/>
  <c r="AL53" i="36" s="1"/>
  <c r="AL66" i="36"/>
  <c r="AM27" i="36"/>
  <c r="AN28" i="36"/>
  <c r="AM67" i="36"/>
  <c r="AM74" i="36" s="1"/>
  <c r="AL16" i="9" s="1"/>
  <c r="AM35" i="36"/>
  <c r="AL67" i="36"/>
  <c r="AL74" i="36" s="1"/>
  <c r="AK16" i="9" s="1"/>
  <c r="X9" i="12"/>
  <c r="X33" i="12" s="1"/>
  <c r="X24" i="9"/>
  <c r="X26" i="9" s="1"/>
  <c r="K9" i="18"/>
  <c r="K9" i="28"/>
  <c r="M8" i="18"/>
  <c r="AB52" i="12"/>
  <c r="O25" i="10"/>
  <c r="M16" i="17" s="1"/>
  <c r="I17" i="11"/>
  <c r="H17" i="11"/>
  <c r="C32" i="11"/>
  <c r="O70" i="5"/>
  <c r="P44" i="5"/>
  <c r="N58" i="5"/>
  <c r="O45" i="5" s="1"/>
  <c r="O56" i="5"/>
  <c r="P57" i="5"/>
  <c r="M36" i="12"/>
  <c r="L27" i="11" s="1"/>
  <c r="L29" i="11" s="1"/>
  <c r="M54" i="12"/>
  <c r="K60" i="18"/>
  <c r="K10" i="28"/>
  <c r="K42" i="18"/>
  <c r="H10" i="28"/>
  <c r="H8" i="28"/>
  <c r="N32" i="12"/>
  <c r="N10" i="12"/>
  <c r="D24" i="4"/>
  <c r="D25" i="4"/>
  <c r="D10" i="9"/>
  <c r="E8" i="22"/>
  <c r="H60" i="18" l="1"/>
  <c r="H9" i="28"/>
  <c r="H16" i="18"/>
  <c r="H9" i="18"/>
  <c r="AL15" i="10"/>
  <c r="AL17" i="10" s="1"/>
  <c r="AL25" i="10" s="1"/>
  <c r="AR23" i="34"/>
  <c r="AM15" i="10" s="1"/>
  <c r="AM17" i="10" s="1"/>
  <c r="AN13" i="10"/>
  <c r="H40" i="2"/>
  <c r="I40" i="2"/>
  <c r="AS23" i="34"/>
  <c r="AN15" i="10" s="1"/>
  <c r="AJ16" i="11"/>
  <c r="AN21" i="10"/>
  <c r="AL12" i="11"/>
  <c r="AO12" i="25"/>
  <c r="AL11" i="9"/>
  <c r="AL28" i="8"/>
  <c r="AM22" i="8"/>
  <c r="AM25" i="8"/>
  <c r="AM13" i="9" s="1"/>
  <c r="AK16" i="11" s="1"/>
  <c r="AM26" i="8"/>
  <c r="AM25" i="9" s="1"/>
  <c r="AK19" i="11" s="1"/>
  <c r="AK12" i="11"/>
  <c r="AM21" i="10"/>
  <c r="AM23" i="10" s="1"/>
  <c r="AN12" i="25"/>
  <c r="AI15" i="11"/>
  <c r="AN22" i="8"/>
  <c r="AN25" i="8"/>
  <c r="AN13" i="9" s="1"/>
  <c r="I11" i="2" s="1"/>
  <c r="AN26" i="8"/>
  <c r="AN25" i="9" s="1"/>
  <c r="AO28" i="36"/>
  <c r="AN35" i="36"/>
  <c r="AM40" i="36"/>
  <c r="AM53" i="36" s="1"/>
  <c r="AM66" i="36" s="1"/>
  <c r="AN27" i="36"/>
  <c r="AN54" i="36"/>
  <c r="AM61" i="36"/>
  <c r="Y9" i="12"/>
  <c r="Y33" i="12" s="1"/>
  <c r="Y24" i="9"/>
  <c r="Y26" i="9" s="1"/>
  <c r="M9" i="28"/>
  <c r="AC52" i="12"/>
  <c r="M16" i="18"/>
  <c r="M9" i="18"/>
  <c r="M8" i="28"/>
  <c r="P70" i="5"/>
  <c r="Q44" i="5"/>
  <c r="O69" i="5"/>
  <c r="P43" i="5"/>
  <c r="N59" i="5"/>
  <c r="N71" i="5"/>
  <c r="N72" i="5" s="1"/>
  <c r="O58" i="5"/>
  <c r="O46" i="5"/>
  <c r="D52" i="4"/>
  <c r="D22" i="4"/>
  <c r="D26" i="4" s="1"/>
  <c r="O8" i="12"/>
  <c r="O28" i="9"/>
  <c r="O30" i="9" s="1"/>
  <c r="N34" i="12"/>
  <c r="M59" i="12"/>
  <c r="N31" i="10"/>
  <c r="D14" i="9"/>
  <c r="D21" i="9" s="1"/>
  <c r="D3" i="9" s="1"/>
  <c r="D23" i="4"/>
  <c r="H45" i="2" l="1"/>
  <c r="F7" i="4" s="1"/>
  <c r="I45" i="2"/>
  <c r="G7" i="4" s="1"/>
  <c r="AN17" i="10"/>
  <c r="H47" i="2"/>
  <c r="I47" i="2"/>
  <c r="G45" i="4"/>
  <c r="G13" i="4"/>
  <c r="G47" i="4"/>
  <c r="G46" i="4"/>
  <c r="F46" i="4"/>
  <c r="F45" i="4"/>
  <c r="F13" i="4"/>
  <c r="F47" i="4"/>
  <c r="H78" i="2"/>
  <c r="I78" i="2"/>
  <c r="AN23" i="10"/>
  <c r="H53" i="2"/>
  <c r="I53" i="2"/>
  <c r="AL19" i="11"/>
  <c r="I85" i="2" s="1"/>
  <c r="I23" i="2"/>
  <c r="AN11" i="9"/>
  <c r="I9" i="2" s="1"/>
  <c r="AN28" i="8"/>
  <c r="AM11" i="9"/>
  <c r="AM28" i="8"/>
  <c r="AM25" i="10"/>
  <c r="AL16" i="11"/>
  <c r="I82" i="2" s="1"/>
  <c r="AJ15" i="11"/>
  <c r="AO54" i="36"/>
  <c r="AO61" i="36" s="1"/>
  <c r="AN61" i="36"/>
  <c r="AN40" i="36"/>
  <c r="AN53" i="36" s="1"/>
  <c r="AN66" i="36" s="1"/>
  <c r="AO27" i="36"/>
  <c r="AN67" i="36"/>
  <c r="AN74" i="36" s="1"/>
  <c r="AM16" i="9" s="1"/>
  <c r="AO67" i="36"/>
  <c r="AO74" i="36" s="1"/>
  <c r="AN16" i="9" s="1"/>
  <c r="I14" i="2" s="1"/>
  <c r="AO35" i="36"/>
  <c r="Z9" i="12"/>
  <c r="Z33" i="12" s="1"/>
  <c r="Z24" i="9"/>
  <c r="Z26" i="9" s="1"/>
  <c r="AD52" i="12"/>
  <c r="O71" i="5"/>
  <c r="O72" i="5" s="1"/>
  <c r="P45" i="5"/>
  <c r="P58" i="5" s="1"/>
  <c r="Q57" i="5"/>
  <c r="P56" i="5"/>
  <c r="O59" i="5"/>
  <c r="D50" i="4"/>
  <c r="D35" i="4"/>
  <c r="D12" i="4"/>
  <c r="E6" i="22"/>
  <c r="N36" i="12"/>
  <c r="M27" i="11" s="1"/>
  <c r="M29" i="11" s="1"/>
  <c r="N54" i="12"/>
  <c r="L10" i="28"/>
  <c r="L60" i="18"/>
  <c r="L42" i="18"/>
  <c r="O10" i="12"/>
  <c r="O32" i="12"/>
  <c r="P8" i="12" s="1"/>
  <c r="H55" i="2" l="1"/>
  <c r="I55" i="2"/>
  <c r="AL15" i="11"/>
  <c r="AN25" i="10"/>
  <c r="H49" i="2"/>
  <c r="I49" i="2"/>
  <c r="G21" i="4"/>
  <c r="G31" i="4"/>
  <c r="G34" i="4" s="1"/>
  <c r="AK15" i="11"/>
  <c r="AO40" i="36"/>
  <c r="AO53" i="36" s="1"/>
  <c r="AO66" i="36" s="1"/>
  <c r="AA9" i="12"/>
  <c r="AA33" i="12" s="1"/>
  <c r="AA24" i="9"/>
  <c r="AA26" i="9" s="1"/>
  <c r="P10" i="12"/>
  <c r="P32" i="12"/>
  <c r="Q70" i="5"/>
  <c r="R44" i="5"/>
  <c r="AE52" i="12"/>
  <c r="P69" i="5"/>
  <c r="Q43" i="5"/>
  <c r="P71" i="5"/>
  <c r="Q45" i="5"/>
  <c r="P46" i="5"/>
  <c r="N59" i="12"/>
  <c r="O31" i="10"/>
  <c r="P28" i="9"/>
  <c r="O34" i="12"/>
  <c r="H57" i="2" l="1"/>
  <c r="I57" i="2"/>
  <c r="G39" i="4"/>
  <c r="G48" i="4"/>
  <c r="F48" i="4"/>
  <c r="F39" i="4"/>
  <c r="I81" i="2"/>
  <c r="E20" i="15" s="1"/>
  <c r="AB9" i="12"/>
  <c r="AB33" i="12" s="1"/>
  <c r="AB24" i="9"/>
  <c r="P30" i="9"/>
  <c r="G28" i="2" s="1"/>
  <c r="G26" i="2"/>
  <c r="Q8" i="12"/>
  <c r="Q28" i="9"/>
  <c r="Q30" i="9" s="1"/>
  <c r="P34" i="12"/>
  <c r="P36" i="12" s="1"/>
  <c r="R57" i="5"/>
  <c r="AF52" i="12"/>
  <c r="Q58" i="5"/>
  <c r="P72" i="5"/>
  <c r="Q56" i="5"/>
  <c r="P59" i="5"/>
  <c r="O36" i="12"/>
  <c r="N27" i="11" s="1"/>
  <c r="O54" i="12"/>
  <c r="M10" i="28"/>
  <c r="M60" i="18"/>
  <c r="M42" i="18"/>
  <c r="E16" i="15" l="1"/>
  <c r="G15" i="4"/>
  <c r="G8" i="4"/>
  <c r="D16" i="15"/>
  <c r="F15" i="4"/>
  <c r="F8" i="4"/>
  <c r="H22" i="2"/>
  <c r="AB26" i="9"/>
  <c r="H24" i="2" s="1"/>
  <c r="AC9" i="12"/>
  <c r="AC33" i="12" s="1"/>
  <c r="AC24" i="9"/>
  <c r="AC26" i="9" s="1"/>
  <c r="O27" i="11"/>
  <c r="P54" i="12"/>
  <c r="Q32" i="12"/>
  <c r="Q10" i="12"/>
  <c r="Q71" i="5"/>
  <c r="Q72" i="5" s="1"/>
  <c r="R45" i="5"/>
  <c r="R46" i="5" s="1"/>
  <c r="R49" i="5" s="1"/>
  <c r="Q27" i="10" s="1"/>
  <c r="O11" i="11" s="1"/>
  <c r="Q59" i="5"/>
  <c r="S57" i="5"/>
  <c r="R70" i="5"/>
  <c r="S44" i="5"/>
  <c r="AG52" i="12"/>
  <c r="N29" i="11"/>
  <c r="G95" i="2" s="1"/>
  <c r="Q46" i="5"/>
  <c r="O59" i="12"/>
  <c r="P31" i="10"/>
  <c r="C16" i="19" l="1"/>
  <c r="H31" i="15"/>
  <c r="H34" i="15" s="1"/>
  <c r="AD9" i="12"/>
  <c r="AD33" i="12" s="1"/>
  <c r="AD24" i="9"/>
  <c r="AD26" i="9" s="1"/>
  <c r="P59" i="12"/>
  <c r="Q31" i="10"/>
  <c r="R28" i="9"/>
  <c r="R30" i="9" s="1"/>
  <c r="Q34" i="12"/>
  <c r="R8" i="12"/>
  <c r="O29" i="11"/>
  <c r="Q29" i="10"/>
  <c r="R58" i="5"/>
  <c r="T44" i="5"/>
  <c r="T57" i="5"/>
  <c r="S70" i="5"/>
  <c r="AH52" i="12"/>
  <c r="N42" i="18"/>
  <c r="C27" i="19" l="1"/>
  <c r="C29" i="19" s="1"/>
  <c r="D16" i="19"/>
  <c r="D27" i="19" s="1"/>
  <c r="D29" i="19" s="1"/>
  <c r="E16" i="19"/>
  <c r="E27" i="19" s="1"/>
  <c r="E29" i="19" s="1"/>
  <c r="Q33" i="10"/>
  <c r="Q8" i="31" s="1"/>
  <c r="Q20" i="31" s="1"/>
  <c r="Q24" i="31" s="1"/>
  <c r="AE9" i="12"/>
  <c r="AE33" i="12" s="1"/>
  <c r="AE24" i="9"/>
  <c r="AE26" i="9" s="1"/>
  <c r="R32" i="12"/>
  <c r="R10" i="12"/>
  <c r="Q36" i="12"/>
  <c r="P27" i="11" s="1"/>
  <c r="Q54" i="12"/>
  <c r="S45" i="5"/>
  <c r="R71" i="5"/>
  <c r="R72" i="5" s="1"/>
  <c r="R74" i="5" s="1"/>
  <c r="Q17" i="9" s="1"/>
  <c r="Q19" i="9" s="1"/>
  <c r="R59" i="5"/>
  <c r="R61" i="5" s="1"/>
  <c r="U57" i="5"/>
  <c r="T70" i="5"/>
  <c r="U44" i="5"/>
  <c r="AI52" i="12"/>
  <c r="C9" i="1"/>
  <c r="C9" i="15"/>
  <c r="AF9" i="12" l="1"/>
  <c r="AF33" i="12" s="1"/>
  <c r="AF24" i="9"/>
  <c r="AF26" i="9" s="1"/>
  <c r="R31" i="10"/>
  <c r="Q59" i="12"/>
  <c r="P29" i="11"/>
  <c r="S28" i="9"/>
  <c r="S30" i="9" s="1"/>
  <c r="R34" i="12"/>
  <c r="S8" i="12"/>
  <c r="S58" i="5"/>
  <c r="S46" i="5"/>
  <c r="S49" i="5" s="1"/>
  <c r="R27" i="10" s="1"/>
  <c r="V44" i="5"/>
  <c r="U70" i="5"/>
  <c r="Q35" i="10"/>
  <c r="Q26" i="31"/>
  <c r="AJ52" i="12"/>
  <c r="C24" i="15"/>
  <c r="P8" i="10"/>
  <c r="N5" i="17" s="1"/>
  <c r="Z56" i="6"/>
  <c r="P17" i="8"/>
  <c r="N6" i="16"/>
  <c r="Z65" i="6"/>
  <c r="Q10" i="25"/>
  <c r="AG9" i="12" l="1"/>
  <c r="AG33" i="12" s="1"/>
  <c r="AG24" i="9"/>
  <c r="AG26" i="9" s="1"/>
  <c r="S32" i="12"/>
  <c r="S10" i="12"/>
  <c r="R36" i="12"/>
  <c r="Q27" i="11" s="1"/>
  <c r="R54" i="12"/>
  <c r="G40" i="2"/>
  <c r="E13" i="4" s="1"/>
  <c r="R29" i="10"/>
  <c r="R33" i="10" s="1"/>
  <c r="R8" i="31" s="1"/>
  <c r="R20" i="31" s="1"/>
  <c r="R24" i="31" s="1"/>
  <c r="P11" i="11"/>
  <c r="S71" i="5"/>
  <c r="S72" i="5" s="1"/>
  <c r="S74" i="5" s="1"/>
  <c r="R17" i="9" s="1"/>
  <c r="R19" i="9" s="1"/>
  <c r="T45" i="5"/>
  <c r="T46" i="5" s="1"/>
  <c r="T49" i="5" s="1"/>
  <c r="S27" i="10" s="1"/>
  <c r="S59" i="5"/>
  <c r="S61" i="5" s="1"/>
  <c r="Q37" i="10"/>
  <c r="O9" i="11" s="1"/>
  <c r="V57" i="5"/>
  <c r="AK52" i="12"/>
  <c r="D24" i="15"/>
  <c r="U23" i="34"/>
  <c r="K5" i="22"/>
  <c r="I10" i="22"/>
  <c r="I7" i="22"/>
  <c r="I6" i="22"/>
  <c r="P19" i="8"/>
  <c r="P24" i="8" s="1"/>
  <c r="P23" i="9" s="1"/>
  <c r="P18" i="8"/>
  <c r="P23" i="8" s="1"/>
  <c r="P12" i="9" s="1"/>
  <c r="G10" i="2" s="1"/>
  <c r="Q11" i="25"/>
  <c r="Q12" i="25" s="1"/>
  <c r="N40" i="18"/>
  <c r="N14" i="18"/>
  <c r="P21" i="10"/>
  <c r="G53" i="2" s="1"/>
  <c r="N12" i="11"/>
  <c r="G78" i="2" s="1"/>
  <c r="P25" i="8"/>
  <c r="P13" i="9" s="1"/>
  <c r="P26" i="8"/>
  <c r="P25" i="9" s="1"/>
  <c r="P22" i="8"/>
  <c r="AH9" i="12" l="1"/>
  <c r="AH33" i="12" s="1"/>
  <c r="AH24" i="9"/>
  <c r="AH26" i="9" s="1"/>
  <c r="Q29" i="11"/>
  <c r="R59" i="12"/>
  <c r="S31" i="10"/>
  <c r="T28" i="9"/>
  <c r="T30" i="9" s="1"/>
  <c r="S34" i="12"/>
  <c r="T8" i="12"/>
  <c r="S29" i="10"/>
  <c r="Q11" i="11"/>
  <c r="T58" i="5"/>
  <c r="R26" i="31"/>
  <c r="R35" i="10"/>
  <c r="R37" i="10" s="1"/>
  <c r="P9" i="11" s="1"/>
  <c r="P20" i="11" s="1"/>
  <c r="P31" i="11" s="1"/>
  <c r="W44" i="5"/>
  <c r="W57" i="5"/>
  <c r="V70" i="5"/>
  <c r="F32" i="4"/>
  <c r="AL52" i="12"/>
  <c r="E24" i="15"/>
  <c r="G23" i="2"/>
  <c r="O19" i="11"/>
  <c r="G11" i="2"/>
  <c r="O16" i="11"/>
  <c r="G21" i="2"/>
  <c r="O18" i="11"/>
  <c r="H84" i="2" s="1"/>
  <c r="Q14" i="25"/>
  <c r="O17" i="11"/>
  <c r="H83" i="2" s="1"/>
  <c r="P15" i="10"/>
  <c r="K10" i="22"/>
  <c r="Z106" i="6"/>
  <c r="P10" i="10"/>
  <c r="N7" i="17" s="1"/>
  <c r="N16" i="11"/>
  <c r="N19" i="11"/>
  <c r="K8" i="22"/>
  <c r="N17" i="11"/>
  <c r="P26" i="9"/>
  <c r="G24" i="2" s="1"/>
  <c r="N18" i="11"/>
  <c r="P11" i="9"/>
  <c r="P28" i="8"/>
  <c r="N39" i="18"/>
  <c r="N13" i="11"/>
  <c r="P22" i="10"/>
  <c r="N7" i="16" l="1"/>
  <c r="N11" i="16" s="1"/>
  <c r="N13" i="16" s="1"/>
  <c r="N12" i="17"/>
  <c r="S33" i="10"/>
  <c r="S8" i="31" s="1"/>
  <c r="S20" i="31" s="1"/>
  <c r="S24" i="31" s="1"/>
  <c r="S35" i="10" s="1"/>
  <c r="S37" i="10" s="1"/>
  <c r="Q9" i="11" s="1"/>
  <c r="Q20" i="11" s="1"/>
  <c r="Q31" i="11" s="1"/>
  <c r="AI9" i="12"/>
  <c r="AI33" i="12" s="1"/>
  <c r="AI24" i="9"/>
  <c r="AI26" i="9" s="1"/>
  <c r="S36" i="12"/>
  <c r="R27" i="11" s="1"/>
  <c r="S54" i="12"/>
  <c r="T10" i="12"/>
  <c r="T32" i="12"/>
  <c r="U45" i="5"/>
  <c r="U46" i="5" s="1"/>
  <c r="U49" i="5" s="1"/>
  <c r="T27" i="10" s="1"/>
  <c r="T71" i="5"/>
  <c r="T72" i="5" s="1"/>
  <c r="T74" i="5" s="1"/>
  <c r="S17" i="9" s="1"/>
  <c r="S19" i="9" s="1"/>
  <c r="T59" i="5"/>
  <c r="T61" i="5" s="1"/>
  <c r="W70" i="5"/>
  <c r="X44" i="5"/>
  <c r="H85" i="2"/>
  <c r="G85" i="2"/>
  <c r="H82" i="2"/>
  <c r="G82" i="2"/>
  <c r="G47" i="2"/>
  <c r="F33" i="4"/>
  <c r="AM52" i="12"/>
  <c r="H35" i="15"/>
  <c r="H37" i="15" s="1"/>
  <c r="G9" i="2"/>
  <c r="O15" i="11"/>
  <c r="P17" i="10"/>
  <c r="N8" i="16"/>
  <c r="N9" i="16" s="1"/>
  <c r="P23" i="10"/>
  <c r="P11" i="10"/>
  <c r="N8" i="17" s="1"/>
  <c r="N25" i="18"/>
  <c r="K15" i="22"/>
  <c r="N15" i="11"/>
  <c r="N62" i="18" l="1"/>
  <c r="N14" i="17"/>
  <c r="S26" i="31"/>
  <c r="AJ9" i="12"/>
  <c r="AJ33" i="12" s="1"/>
  <c r="AJ24" i="9"/>
  <c r="AJ26" i="9" s="1"/>
  <c r="T31" i="10"/>
  <c r="S59" i="12"/>
  <c r="U28" i="9"/>
  <c r="U30" i="9" s="1"/>
  <c r="T34" i="12"/>
  <c r="U8" i="12"/>
  <c r="R29" i="11"/>
  <c r="U58" i="5"/>
  <c r="U71" i="5"/>
  <c r="U72" i="5" s="1"/>
  <c r="U74" i="5" s="1"/>
  <c r="T17" i="9" s="1"/>
  <c r="T19" i="9" s="1"/>
  <c r="V45" i="5"/>
  <c r="U59" i="5"/>
  <c r="U61" i="5" s="1"/>
  <c r="T29" i="10"/>
  <c r="R11" i="11"/>
  <c r="X57" i="5"/>
  <c r="G49" i="2"/>
  <c r="E39" i="4" s="1"/>
  <c r="O20" i="11"/>
  <c r="H81" i="2"/>
  <c r="D20" i="15" s="1"/>
  <c r="G81" i="2"/>
  <c r="E31" i="4"/>
  <c r="F31" i="4"/>
  <c r="F34" i="4" s="1"/>
  <c r="E21" i="4"/>
  <c r="N41" i="18"/>
  <c r="P13" i="10"/>
  <c r="N10" i="17" s="1"/>
  <c r="N38" i="18"/>
  <c r="N17" i="18"/>
  <c r="N15" i="16"/>
  <c r="T33" i="10" l="1"/>
  <c r="T8" i="31" s="1"/>
  <c r="T20" i="31" s="1"/>
  <c r="T24" i="31" s="1"/>
  <c r="T35" i="10" s="1"/>
  <c r="T37" i="10" s="1"/>
  <c r="R9" i="11" s="1"/>
  <c r="R20" i="11" s="1"/>
  <c r="R31" i="11" s="1"/>
  <c r="AK9" i="12"/>
  <c r="AK33" i="12" s="1"/>
  <c r="AK24" i="9"/>
  <c r="AK26" i="9" s="1"/>
  <c r="U10" i="12"/>
  <c r="U32" i="12"/>
  <c r="T36" i="12"/>
  <c r="S27" i="11" s="1"/>
  <c r="T54" i="12"/>
  <c r="V58" i="5"/>
  <c r="V46" i="5"/>
  <c r="V49" i="5" s="1"/>
  <c r="U27" i="10" s="1"/>
  <c r="X70" i="5"/>
  <c r="Y44" i="5"/>
  <c r="E48" i="4"/>
  <c r="O31" i="11"/>
  <c r="G63" i="2"/>
  <c r="P25" i="10"/>
  <c r="N16" i="17" s="1"/>
  <c r="N8" i="18"/>
  <c r="T26" i="31" l="1"/>
  <c r="AL9" i="12"/>
  <c r="AL33" i="12" s="1"/>
  <c r="AL24" i="9"/>
  <c r="AL26" i="9" s="1"/>
  <c r="S29" i="11"/>
  <c r="U31" i="10"/>
  <c r="T59" i="12"/>
  <c r="V28" i="9"/>
  <c r="V30" i="9" s="1"/>
  <c r="U34" i="12"/>
  <c r="V8" i="12"/>
  <c r="S11" i="11"/>
  <c r="U29" i="10"/>
  <c r="V71" i="5"/>
  <c r="V72" i="5" s="1"/>
  <c r="V74" i="5" s="1"/>
  <c r="U17" i="9" s="1"/>
  <c r="U19" i="9" s="1"/>
  <c r="W45" i="5"/>
  <c r="V59" i="5"/>
  <c r="V61" i="5" s="1"/>
  <c r="Y57" i="5"/>
  <c r="E49" i="4"/>
  <c r="N8" i="28"/>
  <c r="N9" i="28"/>
  <c r="N16" i="18"/>
  <c r="N9" i="18"/>
  <c r="N60" i="18"/>
  <c r="N10" i="28"/>
  <c r="H9" i="5"/>
  <c r="AM9" i="12" l="1"/>
  <c r="AM33" i="12" s="1"/>
  <c r="AN24" i="9" s="1"/>
  <c r="AM24" i="9"/>
  <c r="AM26" i="9" s="1"/>
  <c r="V32" i="12"/>
  <c r="V10" i="12"/>
  <c r="U36" i="12"/>
  <c r="T27" i="11" s="1"/>
  <c r="T29" i="11" s="1"/>
  <c r="U54" i="12"/>
  <c r="U33" i="10"/>
  <c r="U8" i="31" s="1"/>
  <c r="U20" i="31" s="1"/>
  <c r="U24" i="31" s="1"/>
  <c r="W58" i="5"/>
  <c r="W46" i="5"/>
  <c r="W49" i="5" s="1"/>
  <c r="V27" i="10" s="1"/>
  <c r="Z44" i="5"/>
  <c r="Z57" i="5"/>
  <c r="Y70" i="5"/>
  <c r="H16" i="5"/>
  <c r="I22" i="2" l="1"/>
  <c r="AN26" i="9"/>
  <c r="I24" i="2" s="1"/>
  <c r="U59" i="12"/>
  <c r="V31" i="10"/>
  <c r="W28" i="9"/>
  <c r="W30" i="9" s="1"/>
  <c r="V34" i="12"/>
  <c r="W8" i="12"/>
  <c r="U35" i="10"/>
  <c r="U37" i="10" s="1"/>
  <c r="S9" i="11" s="1"/>
  <c r="S20" i="11" s="1"/>
  <c r="S31" i="11" s="1"/>
  <c r="U26" i="31"/>
  <c r="T11" i="11"/>
  <c r="V29" i="10"/>
  <c r="W71" i="5"/>
  <c r="W72" i="5" s="1"/>
  <c r="W74" i="5" s="1"/>
  <c r="V17" i="9" s="1"/>
  <c r="V19" i="9" s="1"/>
  <c r="X45" i="5"/>
  <c r="W59" i="5"/>
  <c r="W61" i="5" s="1"/>
  <c r="AA44" i="5"/>
  <c r="AA57" i="5"/>
  <c r="Z70" i="5"/>
  <c r="H35" i="5"/>
  <c r="E24" i="11"/>
  <c r="V33" i="10" l="1"/>
  <c r="V8" i="31" s="1"/>
  <c r="V20" i="31" s="1"/>
  <c r="V24" i="31" s="1"/>
  <c r="V35" i="10" s="1"/>
  <c r="V37" i="10" s="1"/>
  <c r="T9" i="11" s="1"/>
  <c r="T20" i="11" s="1"/>
  <c r="T31" i="11" s="1"/>
  <c r="W32" i="12"/>
  <c r="W10" i="12"/>
  <c r="V36" i="12"/>
  <c r="U27" i="11" s="1"/>
  <c r="U29" i="11" s="1"/>
  <c r="V54" i="12"/>
  <c r="X58" i="5"/>
  <c r="X46" i="5"/>
  <c r="X49" i="5" s="1"/>
  <c r="W27" i="10" s="1"/>
  <c r="AA70" i="5"/>
  <c r="AB44" i="5"/>
  <c r="I9" i="5"/>
  <c r="V26" i="31" l="1"/>
  <c r="V59" i="12"/>
  <c r="W31" i="10"/>
  <c r="X28" i="9"/>
  <c r="X30" i="9" s="1"/>
  <c r="W34" i="12"/>
  <c r="X8" i="12"/>
  <c r="U11" i="11"/>
  <c r="W29" i="10"/>
  <c r="W33" i="10" s="1"/>
  <c r="W8" i="31" s="1"/>
  <c r="W20" i="31" s="1"/>
  <c r="W24" i="31" s="1"/>
  <c r="X71" i="5"/>
  <c r="X72" i="5" s="1"/>
  <c r="X74" i="5" s="1"/>
  <c r="W17" i="9" s="1"/>
  <c r="W19" i="9" s="1"/>
  <c r="Y45" i="5"/>
  <c r="X59" i="5"/>
  <c r="X61" i="5" s="1"/>
  <c r="AB57" i="5"/>
  <c r="I16" i="5"/>
  <c r="X32" i="12" l="1"/>
  <c r="X10" i="12"/>
  <c r="W36" i="12"/>
  <c r="V27" i="11" s="1"/>
  <c r="V29" i="11" s="1"/>
  <c r="W54" i="12"/>
  <c r="Y58" i="5"/>
  <c r="Y46" i="5"/>
  <c r="Y49" i="5" s="1"/>
  <c r="X27" i="10" s="1"/>
  <c r="W26" i="31"/>
  <c r="W35" i="10"/>
  <c r="W37" i="10" s="1"/>
  <c r="U9" i="11" s="1"/>
  <c r="U20" i="11" s="1"/>
  <c r="U31" i="11" s="1"/>
  <c r="AC44" i="5"/>
  <c r="AB70" i="5"/>
  <c r="F24" i="11"/>
  <c r="I35" i="5"/>
  <c r="W59" i="12" l="1"/>
  <c r="X31" i="10"/>
  <c r="Y28" i="9"/>
  <c r="Y30" i="9" s="1"/>
  <c r="Y8" i="12"/>
  <c r="X34" i="12"/>
  <c r="V11" i="11"/>
  <c r="X29" i="10"/>
  <c r="Y71" i="5"/>
  <c r="Y72" i="5" s="1"/>
  <c r="Y74" i="5" s="1"/>
  <c r="X17" i="9" s="1"/>
  <c r="X19" i="9" s="1"/>
  <c r="Z45" i="5"/>
  <c r="Y59" i="5"/>
  <c r="Y61" i="5" s="1"/>
  <c r="AC57" i="5"/>
  <c r="J9" i="5"/>
  <c r="X33" i="10" l="1"/>
  <c r="X8" i="31" s="1"/>
  <c r="X20" i="31" s="1"/>
  <c r="X24" i="31" s="1"/>
  <c r="X36" i="12"/>
  <c r="W27" i="11" s="1"/>
  <c r="W29" i="11" s="1"/>
  <c r="X54" i="12"/>
  <c r="Y32" i="12"/>
  <c r="Y10" i="12"/>
  <c r="Z58" i="5"/>
  <c r="Z46" i="5"/>
  <c r="Z49" i="5" s="1"/>
  <c r="Y27" i="10" s="1"/>
  <c r="AC70" i="5"/>
  <c r="AD44" i="5"/>
  <c r="J16" i="5"/>
  <c r="Z28" i="9" l="1"/>
  <c r="Z30" i="9" s="1"/>
  <c r="Z8" i="12"/>
  <c r="Y34" i="12"/>
  <c r="X59" i="12"/>
  <c r="Y31" i="10"/>
  <c r="X35" i="10"/>
  <c r="X37" i="10" s="1"/>
  <c r="V9" i="11" s="1"/>
  <c r="V20" i="11" s="1"/>
  <c r="V31" i="11" s="1"/>
  <c r="X26" i="31"/>
  <c r="W11" i="11"/>
  <c r="Y29" i="10"/>
  <c r="Z71" i="5"/>
  <c r="Z72" i="5" s="1"/>
  <c r="Z74" i="5" s="1"/>
  <c r="Y17" i="9" s="1"/>
  <c r="Y19" i="9" s="1"/>
  <c r="AA45" i="5"/>
  <c r="Z59" i="5"/>
  <c r="Z61" i="5" s="1"/>
  <c r="AD57" i="5"/>
  <c r="J35" i="5"/>
  <c r="G24" i="11"/>
  <c r="Z32" i="12" l="1"/>
  <c r="Z10" i="12"/>
  <c r="Y36" i="12"/>
  <c r="X27" i="11" s="1"/>
  <c r="X29" i="11" s="1"/>
  <c r="Y54" i="12"/>
  <c r="Y33" i="10"/>
  <c r="Y8" i="31" s="1"/>
  <c r="Y20" i="31" s="1"/>
  <c r="Y24" i="31" s="1"/>
  <c r="AA58" i="5"/>
  <c r="AA46" i="5"/>
  <c r="AA49" i="5" s="1"/>
  <c r="Z27" i="10" s="1"/>
  <c r="AE57" i="5"/>
  <c r="AD70" i="5"/>
  <c r="AE44" i="5"/>
  <c r="K9" i="5"/>
  <c r="Y59" i="12" l="1"/>
  <c r="Z31" i="10"/>
  <c r="AA28" i="9"/>
  <c r="AA30" i="9" s="1"/>
  <c r="AA8" i="12"/>
  <c r="Z34" i="12"/>
  <c r="Y26" i="31"/>
  <c r="Y35" i="10"/>
  <c r="Y37" i="10" s="1"/>
  <c r="X11" i="11"/>
  <c r="Z29" i="10"/>
  <c r="AA71" i="5"/>
  <c r="AA72" i="5" s="1"/>
  <c r="AA74" i="5" s="1"/>
  <c r="Z17" i="9" s="1"/>
  <c r="Z19" i="9" s="1"/>
  <c r="AB45" i="5"/>
  <c r="AA59" i="5"/>
  <c r="AA61" i="5" s="1"/>
  <c r="AF57" i="5"/>
  <c r="AE70" i="5"/>
  <c r="AF44" i="5"/>
  <c r="K16" i="5"/>
  <c r="AA32" i="12" l="1"/>
  <c r="AA10" i="12"/>
  <c r="Z36" i="12"/>
  <c r="Y27" i="11" s="1"/>
  <c r="Y29" i="11" s="1"/>
  <c r="Z54" i="12"/>
  <c r="Z33" i="10"/>
  <c r="Z8" i="31" s="1"/>
  <c r="Z20" i="31" s="1"/>
  <c r="Z24" i="31" s="1"/>
  <c r="AB58" i="5"/>
  <c r="AB46" i="5"/>
  <c r="AB49" i="5" s="1"/>
  <c r="AA27" i="10" s="1"/>
  <c r="W9" i="11"/>
  <c r="AG44" i="5"/>
  <c r="AG57" i="5"/>
  <c r="AF70" i="5"/>
  <c r="K35" i="5"/>
  <c r="H24" i="11"/>
  <c r="AA31" i="10" l="1"/>
  <c r="Z59" i="12"/>
  <c r="AB28" i="9"/>
  <c r="AB8" i="12"/>
  <c r="AA34" i="12"/>
  <c r="AB71" i="5"/>
  <c r="AB72" i="5" s="1"/>
  <c r="AB74" i="5" s="1"/>
  <c r="AA17" i="9" s="1"/>
  <c r="AA19" i="9" s="1"/>
  <c r="AC45" i="5"/>
  <c r="AB59" i="5"/>
  <c r="AB61" i="5" s="1"/>
  <c r="W20" i="11"/>
  <c r="AA29" i="10"/>
  <c r="Y11" i="11"/>
  <c r="Z26" i="31"/>
  <c r="Z35" i="10"/>
  <c r="Z37" i="10" s="1"/>
  <c r="AH44" i="5"/>
  <c r="AH57" i="5"/>
  <c r="AG70" i="5"/>
  <c r="L9" i="5"/>
  <c r="AA33" i="10" l="1"/>
  <c r="AA8" i="31" s="1"/>
  <c r="AA20" i="31" s="1"/>
  <c r="AA24" i="31" s="1"/>
  <c r="AA36" i="12"/>
  <c r="Z27" i="11" s="1"/>
  <c r="Z29" i="11" s="1"/>
  <c r="AA54" i="12"/>
  <c r="AB10" i="12"/>
  <c r="AB32" i="12"/>
  <c r="AB30" i="9"/>
  <c r="H28" i="2" s="1"/>
  <c r="H26" i="2"/>
  <c r="AC58" i="5"/>
  <c r="AC46" i="5"/>
  <c r="AC49" i="5" s="1"/>
  <c r="AB27" i="10" s="1"/>
  <c r="W31" i="11"/>
  <c r="X9" i="11"/>
  <c r="AI44" i="5"/>
  <c r="AI57" i="5"/>
  <c r="AH70" i="5"/>
  <c r="L16" i="5"/>
  <c r="AC28" i="9" l="1"/>
  <c r="AC30" i="9" s="1"/>
  <c r="AB34" i="12"/>
  <c r="AC8" i="12"/>
  <c r="AA59" i="12"/>
  <c r="AB31" i="10"/>
  <c r="Z11" i="11"/>
  <c r="AB29" i="10"/>
  <c r="AC71" i="5"/>
  <c r="AC72" i="5" s="1"/>
  <c r="AC74" i="5" s="1"/>
  <c r="AB17" i="9" s="1"/>
  <c r="AD45" i="5"/>
  <c r="AC59" i="5"/>
  <c r="AC61" i="5" s="1"/>
  <c r="X20" i="11"/>
  <c r="AA26" i="31"/>
  <c r="AA35" i="10"/>
  <c r="AA37" i="10" s="1"/>
  <c r="AI70" i="5"/>
  <c r="AJ44" i="5"/>
  <c r="I24" i="11"/>
  <c r="L35" i="5"/>
  <c r="AB33" i="10" l="1"/>
  <c r="AB8" i="31" s="1"/>
  <c r="AB20" i="31" s="1"/>
  <c r="AB24" i="31" s="1"/>
  <c r="AC10" i="12"/>
  <c r="AC32" i="12"/>
  <c r="AB36" i="12"/>
  <c r="AA27" i="11" s="1"/>
  <c r="AB54" i="12"/>
  <c r="X31" i="11"/>
  <c r="Y9" i="11"/>
  <c r="H15" i="2"/>
  <c r="AB19" i="9"/>
  <c r="H17" i="2" s="1"/>
  <c r="AD58" i="5"/>
  <c r="AD46" i="5"/>
  <c r="AD49" i="5" s="1"/>
  <c r="AC27" i="10" s="1"/>
  <c r="AJ57" i="5"/>
  <c r="M9" i="5"/>
  <c r="H65" i="2" l="1"/>
  <c r="AD28" i="9"/>
  <c r="AD30" i="9" s="1"/>
  <c r="AC34" i="12"/>
  <c r="AD8" i="12"/>
  <c r="AB59" i="12"/>
  <c r="AC31" i="10"/>
  <c r="AA29" i="11"/>
  <c r="AB35" i="10"/>
  <c r="AB37" i="10" s="1"/>
  <c r="AB26" i="31"/>
  <c r="AC29" i="10"/>
  <c r="AA11" i="11"/>
  <c r="Y20" i="11"/>
  <c r="AD71" i="5"/>
  <c r="AD72" i="5" s="1"/>
  <c r="AD74" i="5" s="1"/>
  <c r="AC17" i="9" s="1"/>
  <c r="AC19" i="9" s="1"/>
  <c r="AE45" i="5"/>
  <c r="AD59" i="5"/>
  <c r="AD61" i="5" s="1"/>
  <c r="AK44" i="5"/>
  <c r="AK57" i="5"/>
  <c r="AJ70" i="5"/>
  <c r="M16" i="5"/>
  <c r="M35" i="5"/>
  <c r="J24" i="11"/>
  <c r="AD32" i="12" l="1"/>
  <c r="AD10" i="12"/>
  <c r="AC33" i="10"/>
  <c r="AC8" i="31" s="1"/>
  <c r="AC20" i="31" s="1"/>
  <c r="AC24" i="31" s="1"/>
  <c r="AC36" i="12"/>
  <c r="AB27" i="11" s="1"/>
  <c r="AC54" i="12"/>
  <c r="AD31" i="10" s="1"/>
  <c r="AE58" i="5"/>
  <c r="AE46" i="5"/>
  <c r="AE49" i="5" s="1"/>
  <c r="AD27" i="10" s="1"/>
  <c r="Y31" i="11"/>
  <c r="Z9" i="11"/>
  <c r="H69" i="2"/>
  <c r="AL44" i="5"/>
  <c r="AK70" i="5"/>
  <c r="N9" i="5"/>
  <c r="AB29" i="11" l="1"/>
  <c r="AC59" i="12"/>
  <c r="AE28" i="9"/>
  <c r="AE30" i="9" s="1"/>
  <c r="AD34" i="12"/>
  <c r="AE8" i="12"/>
  <c r="F14" i="4"/>
  <c r="F38" i="4"/>
  <c r="AC26" i="31"/>
  <c r="AC35" i="10"/>
  <c r="AC37" i="10" s="1"/>
  <c r="AA9" i="11" s="1"/>
  <c r="AA20" i="11" s="1"/>
  <c r="AA31" i="11" s="1"/>
  <c r="AB11" i="11"/>
  <c r="AD29" i="10"/>
  <c r="AD33" i="10" s="1"/>
  <c r="AD8" i="31" s="1"/>
  <c r="AD20" i="31" s="1"/>
  <c r="AD24" i="31" s="1"/>
  <c r="F9" i="4"/>
  <c r="Z20" i="11"/>
  <c r="H75" i="2"/>
  <c r="AE71" i="5"/>
  <c r="AE72" i="5" s="1"/>
  <c r="AE74" i="5" s="1"/>
  <c r="AD17" i="9" s="1"/>
  <c r="AD19" i="9" s="1"/>
  <c r="AF45" i="5"/>
  <c r="AE59" i="5"/>
  <c r="AE61" i="5" s="1"/>
  <c r="AL57" i="5"/>
  <c r="N16" i="5"/>
  <c r="AE32" i="12" l="1"/>
  <c r="AE10" i="12"/>
  <c r="AD36" i="12"/>
  <c r="AC27" i="11" s="1"/>
  <c r="AD54" i="12"/>
  <c r="AE31" i="10" s="1"/>
  <c r="AF58" i="5"/>
  <c r="AF46" i="5"/>
  <c r="AF49" i="5" s="1"/>
  <c r="AE27" i="10" s="1"/>
  <c r="AD35" i="10"/>
  <c r="AD37" i="10" s="1"/>
  <c r="AB9" i="11" s="1"/>
  <c r="AB20" i="11" s="1"/>
  <c r="AB31" i="11" s="1"/>
  <c r="AD26" i="31"/>
  <c r="Z31" i="11"/>
  <c r="H97" i="2" s="1"/>
  <c r="H86" i="2"/>
  <c r="AM44" i="5"/>
  <c r="AM57" i="5"/>
  <c r="AL70" i="5"/>
  <c r="K24" i="11"/>
  <c r="G90" i="2" s="1"/>
  <c r="N35" i="5"/>
  <c r="AC29" i="11" l="1"/>
  <c r="AD59" i="12"/>
  <c r="AF28" i="9"/>
  <c r="AF30" i="9" s="1"/>
  <c r="AF8" i="12"/>
  <c r="AE34" i="12"/>
  <c r="AE29" i="10"/>
  <c r="AE33" i="10" s="1"/>
  <c r="AC11" i="11"/>
  <c r="AF71" i="5"/>
  <c r="AF72" i="5" s="1"/>
  <c r="AF74" i="5" s="1"/>
  <c r="AE17" i="9" s="1"/>
  <c r="AE19" i="9" s="1"/>
  <c r="AG45" i="5"/>
  <c r="AF59" i="5"/>
  <c r="AF61" i="5" s="1"/>
  <c r="AN44" i="5"/>
  <c r="AM70" i="5"/>
  <c r="O9" i="5"/>
  <c r="AE36" i="12" l="1"/>
  <c r="AD27" i="11" s="1"/>
  <c r="AE54" i="12"/>
  <c r="AF10" i="12"/>
  <c r="AF32" i="12"/>
  <c r="AG58" i="5"/>
  <c r="AG46" i="5"/>
  <c r="AG49" i="5" s="1"/>
  <c r="AF27" i="10" s="1"/>
  <c r="AE8" i="31"/>
  <c r="AE20" i="31" s="1"/>
  <c r="AE24" i="31" s="1"/>
  <c r="AN57" i="5"/>
  <c r="O16" i="5"/>
  <c r="AG28" i="9" l="1"/>
  <c r="AG30" i="9" s="1"/>
  <c r="AF34" i="12"/>
  <c r="AG8" i="12"/>
  <c r="AE59" i="12"/>
  <c r="AF31" i="10"/>
  <c r="AD29" i="11"/>
  <c r="AE26" i="31"/>
  <c r="AE35" i="10"/>
  <c r="AE37" i="10" s="1"/>
  <c r="AC9" i="11" s="1"/>
  <c r="AC20" i="11" s="1"/>
  <c r="AC31" i="11" s="1"/>
  <c r="AF29" i="10"/>
  <c r="AD11" i="11"/>
  <c r="AG71" i="5"/>
  <c r="AG72" i="5" s="1"/>
  <c r="AG74" i="5" s="1"/>
  <c r="AF17" i="9" s="1"/>
  <c r="AF19" i="9" s="1"/>
  <c r="AH45" i="5"/>
  <c r="AG59" i="5"/>
  <c r="AG61" i="5" s="1"/>
  <c r="AO44" i="5"/>
  <c r="AO57" i="5"/>
  <c r="AN70" i="5"/>
  <c r="O35" i="5"/>
  <c r="L24" i="11"/>
  <c r="AG32" i="12" l="1"/>
  <c r="AG10" i="12"/>
  <c r="AF33" i="10"/>
  <c r="AF8" i="31" s="1"/>
  <c r="AF20" i="31" s="1"/>
  <c r="AF24" i="31" s="1"/>
  <c r="AF26" i="31" s="1"/>
  <c r="AF36" i="12"/>
  <c r="AE27" i="11" s="1"/>
  <c r="AF54" i="12"/>
  <c r="AH58" i="5"/>
  <c r="AH46" i="5"/>
  <c r="AH49" i="5" s="1"/>
  <c r="AG27" i="10" s="1"/>
  <c r="AO70" i="5"/>
  <c r="H59" i="2"/>
  <c r="D19" i="15" s="1"/>
  <c r="P9" i="5"/>
  <c r="AF35" i="10" l="1"/>
  <c r="AF37" i="10" s="1"/>
  <c r="AD9" i="11" s="1"/>
  <c r="AD20" i="11" s="1"/>
  <c r="AD31" i="11" s="1"/>
  <c r="AE29" i="11"/>
  <c r="AF59" i="12"/>
  <c r="AG31" i="10"/>
  <c r="AH28" i="9"/>
  <c r="AH30" i="9" s="1"/>
  <c r="AH8" i="12"/>
  <c r="AG34" i="12"/>
  <c r="AE11" i="11"/>
  <c r="AG29" i="10"/>
  <c r="AH71" i="5"/>
  <c r="AH72" i="5" s="1"/>
  <c r="AH74" i="5" s="1"/>
  <c r="AG17" i="9" s="1"/>
  <c r="AG19" i="9" s="1"/>
  <c r="AI45" i="5"/>
  <c r="AH59" i="5"/>
  <c r="AH61" i="5" s="1"/>
  <c r="H61" i="2"/>
  <c r="D15" i="15" s="1"/>
  <c r="H77" i="2"/>
  <c r="P16" i="5"/>
  <c r="AG36" i="12" l="1"/>
  <c r="AF27" i="11" s="1"/>
  <c r="AF29" i="11" s="1"/>
  <c r="AG54" i="12"/>
  <c r="AH32" i="12"/>
  <c r="AH10" i="12"/>
  <c r="AG33" i="10"/>
  <c r="AG8" i="31" s="1"/>
  <c r="AG20" i="31" s="1"/>
  <c r="AG24" i="31" s="1"/>
  <c r="AG35" i="10" s="1"/>
  <c r="AG37" i="10" s="1"/>
  <c r="AE9" i="11" s="1"/>
  <c r="AE20" i="11" s="1"/>
  <c r="AE31" i="11" s="1"/>
  <c r="AI58" i="5"/>
  <c r="AI46" i="5"/>
  <c r="AI49" i="5" s="1"/>
  <c r="AH27" i="10" s="1"/>
  <c r="P35" i="5"/>
  <c r="M24" i="11"/>
  <c r="AG26" i="31" l="1"/>
  <c r="AI28" i="9"/>
  <c r="AI30" i="9" s="1"/>
  <c r="AH34" i="12"/>
  <c r="AI8" i="12"/>
  <c r="AG59" i="12"/>
  <c r="AH31" i="10"/>
  <c r="AI71" i="5"/>
  <c r="AI72" i="5" s="1"/>
  <c r="AI74" i="5" s="1"/>
  <c r="AH17" i="9" s="1"/>
  <c r="AH19" i="9" s="1"/>
  <c r="AJ45" i="5"/>
  <c r="AI59" i="5"/>
  <c r="AI61" i="5" s="1"/>
  <c r="AF11" i="11"/>
  <c r="AH29" i="10"/>
  <c r="Q9" i="5"/>
  <c r="AI10" i="12" l="1"/>
  <c r="AI32" i="12"/>
  <c r="AH36" i="12"/>
  <c r="AG27" i="11" s="1"/>
  <c r="AG29" i="11" s="1"/>
  <c r="AH54" i="12"/>
  <c r="AH33" i="10"/>
  <c r="AJ58" i="5"/>
  <c r="AJ46" i="5"/>
  <c r="AJ49" i="5" s="1"/>
  <c r="AI27" i="10" s="1"/>
  <c r="H67" i="2"/>
  <c r="D18" i="15" s="1"/>
  <c r="D22" i="15" s="1"/>
  <c r="D26" i="15" s="1"/>
  <c r="Q16" i="5"/>
  <c r="AH59" i="12" l="1"/>
  <c r="AI31" i="10"/>
  <c r="AJ28" i="9"/>
  <c r="AJ30" i="9" s="1"/>
  <c r="AJ8" i="12"/>
  <c r="AI34" i="12"/>
  <c r="AJ71" i="5"/>
  <c r="AJ72" i="5" s="1"/>
  <c r="AJ74" i="5" s="1"/>
  <c r="AI17" i="9" s="1"/>
  <c r="AI19" i="9" s="1"/>
  <c r="AK45" i="5"/>
  <c r="AJ59" i="5"/>
  <c r="AJ61" i="5" s="1"/>
  <c r="AG11" i="11"/>
  <c r="AI29" i="10"/>
  <c r="AH8" i="31"/>
  <c r="AH20" i="31" s="1"/>
  <c r="AH24" i="31" s="1"/>
  <c r="N24" i="11"/>
  <c r="H27" i="5"/>
  <c r="F49" i="5"/>
  <c r="E27" i="10" s="1"/>
  <c r="F61" i="5"/>
  <c r="AJ10" i="12" l="1"/>
  <c r="AJ32" i="12"/>
  <c r="AI36" i="12"/>
  <c r="AH27" i="11" s="1"/>
  <c r="AH29" i="11" s="1"/>
  <c r="AI54" i="12"/>
  <c r="AH35" i="10"/>
  <c r="AH26" i="31"/>
  <c r="AI33" i="10"/>
  <c r="AK58" i="5"/>
  <c r="AK46" i="5"/>
  <c r="AK49" i="5" s="1"/>
  <c r="AJ27" i="10" s="1"/>
  <c r="C11" i="11"/>
  <c r="H40" i="5"/>
  <c r="I27" i="5"/>
  <c r="C18" i="17"/>
  <c r="AJ31" i="10" l="1"/>
  <c r="AI59" i="12"/>
  <c r="AK28" i="9"/>
  <c r="AK30" i="9" s="1"/>
  <c r="AJ34" i="12"/>
  <c r="AK8" i="12"/>
  <c r="AK71" i="5"/>
  <c r="AK72" i="5" s="1"/>
  <c r="AK74" i="5" s="1"/>
  <c r="AJ17" i="9" s="1"/>
  <c r="AJ19" i="9" s="1"/>
  <c r="AL45" i="5"/>
  <c r="AK59" i="5"/>
  <c r="AK61" i="5" s="1"/>
  <c r="AH11" i="11"/>
  <c r="AJ29" i="10"/>
  <c r="AI8" i="31"/>
  <c r="AI20" i="31" s="1"/>
  <c r="AI24" i="31" s="1"/>
  <c r="AH37" i="10"/>
  <c r="I40" i="5"/>
  <c r="J27" i="5"/>
  <c r="H53" i="5"/>
  <c r="H66" i="5" s="1"/>
  <c r="I53" i="5"/>
  <c r="I66" i="5" s="1"/>
  <c r="E19" i="9"/>
  <c r="G54" i="5"/>
  <c r="AK32" i="12" l="1"/>
  <c r="AK10" i="12"/>
  <c r="AJ36" i="12"/>
  <c r="AI27" i="11" s="1"/>
  <c r="AI29" i="11" s="1"/>
  <c r="AJ54" i="12"/>
  <c r="AI35" i="10"/>
  <c r="AI26" i="31"/>
  <c r="AJ33" i="10"/>
  <c r="AF9" i="11"/>
  <c r="AL58" i="5"/>
  <c r="AL46" i="5"/>
  <c r="AL49" i="5" s="1"/>
  <c r="AK27" i="10" s="1"/>
  <c r="J40" i="5"/>
  <c r="K27" i="5"/>
  <c r="G49" i="5"/>
  <c r="F27" i="10" s="1"/>
  <c r="C59" i="18"/>
  <c r="AJ59" i="12" l="1"/>
  <c r="AK31" i="10"/>
  <c r="AL28" i="9"/>
  <c r="AL30" i="9" s="1"/>
  <c r="AL8" i="12"/>
  <c r="AK34" i="12"/>
  <c r="AK29" i="10"/>
  <c r="AI11" i="11"/>
  <c r="AF20" i="11"/>
  <c r="AJ8" i="31"/>
  <c r="AJ20" i="31" s="1"/>
  <c r="AJ24" i="31" s="1"/>
  <c r="AL71" i="5"/>
  <c r="AL72" i="5" s="1"/>
  <c r="AL74" i="5" s="1"/>
  <c r="AK17" i="9" s="1"/>
  <c r="AK19" i="9" s="1"/>
  <c r="AM45" i="5"/>
  <c r="AL59" i="5"/>
  <c r="AL61" i="5" s="1"/>
  <c r="AI37" i="10"/>
  <c r="K40" i="5"/>
  <c r="K53" i="5" s="1"/>
  <c r="K66" i="5" s="1"/>
  <c r="L27" i="5"/>
  <c r="J53" i="5"/>
  <c r="J66" i="5" s="1"/>
  <c r="G61" i="5"/>
  <c r="G67" i="5"/>
  <c r="D11" i="11"/>
  <c r="D18" i="17"/>
  <c r="F29" i="10"/>
  <c r="AK36" i="12" l="1"/>
  <c r="AJ27" i="11" s="1"/>
  <c r="AJ29" i="11" s="1"/>
  <c r="AK54" i="12"/>
  <c r="AL10" i="12"/>
  <c r="AL32" i="12"/>
  <c r="AG9" i="11"/>
  <c r="AF31" i="11"/>
  <c r="AJ35" i="10"/>
  <c r="AJ26" i="31"/>
  <c r="AM58" i="5"/>
  <c r="AM46" i="5"/>
  <c r="AM49" i="5" s="1"/>
  <c r="AL27" i="10" s="1"/>
  <c r="AK33" i="10"/>
  <c r="L40" i="5"/>
  <c r="L53" i="5" s="1"/>
  <c r="L66" i="5" s="1"/>
  <c r="M27" i="5"/>
  <c r="H54" i="5"/>
  <c r="G74" i="5"/>
  <c r="F17" i="9" s="1"/>
  <c r="F33" i="10"/>
  <c r="AL31" i="10" l="1"/>
  <c r="AK59" i="12"/>
  <c r="AM28" i="9"/>
  <c r="AM30" i="9" s="1"/>
  <c r="AL34" i="12"/>
  <c r="AM8" i="12"/>
  <c r="AJ11" i="11"/>
  <c r="AL29" i="10"/>
  <c r="AM71" i="5"/>
  <c r="AM72" i="5" s="1"/>
  <c r="AM74" i="5" s="1"/>
  <c r="AL17" i="9" s="1"/>
  <c r="AL19" i="9" s="1"/>
  <c r="AN45" i="5"/>
  <c r="AM59" i="5"/>
  <c r="AM61" i="5" s="1"/>
  <c r="AJ37" i="10"/>
  <c r="AK8" i="31"/>
  <c r="AK20" i="31" s="1"/>
  <c r="AK24" i="31" s="1"/>
  <c r="AG20" i="11"/>
  <c r="M40" i="5"/>
  <c r="M53" i="5" s="1"/>
  <c r="M66" i="5" s="1"/>
  <c r="N27" i="5"/>
  <c r="F19" i="9"/>
  <c r="D59" i="18" s="1"/>
  <c r="F8" i="31"/>
  <c r="F20" i="31" s="1"/>
  <c r="F24" i="31" s="1"/>
  <c r="D21" i="17"/>
  <c r="H49" i="5"/>
  <c r="G27" i="10" s="1"/>
  <c r="AL36" i="12" l="1"/>
  <c r="AK27" i="11" s="1"/>
  <c r="AK29" i="11" s="1"/>
  <c r="AL54" i="12"/>
  <c r="AM32" i="12"/>
  <c r="AM10" i="12"/>
  <c r="AH9" i="11"/>
  <c r="AN58" i="5"/>
  <c r="AN46" i="5"/>
  <c r="AN49" i="5" s="1"/>
  <c r="AM27" i="10" s="1"/>
  <c r="AG31" i="11"/>
  <c r="AL33" i="10"/>
  <c r="AK35" i="10"/>
  <c r="AK26" i="31"/>
  <c r="N40" i="5"/>
  <c r="N53" i="5" s="1"/>
  <c r="N66" i="5" s="1"/>
  <c r="O27" i="5"/>
  <c r="H61" i="5"/>
  <c r="H67" i="5"/>
  <c r="E11" i="11"/>
  <c r="E18" i="17"/>
  <c r="G29" i="10"/>
  <c r="F26" i="31"/>
  <c r="F35" i="10"/>
  <c r="AN28" i="9" l="1"/>
  <c r="AM34" i="12"/>
  <c r="AM31" i="10"/>
  <c r="AL59" i="12"/>
  <c r="AL8" i="31"/>
  <c r="AL20" i="31" s="1"/>
  <c r="AL24" i="31" s="1"/>
  <c r="AN71" i="5"/>
  <c r="AN72" i="5" s="1"/>
  <c r="AN74" i="5" s="1"/>
  <c r="AM17" i="9" s="1"/>
  <c r="AM19" i="9" s="1"/>
  <c r="AO45" i="5"/>
  <c r="AN59" i="5"/>
  <c r="AN61" i="5" s="1"/>
  <c r="AM29" i="10"/>
  <c r="AK11" i="11"/>
  <c r="AK37" i="10"/>
  <c r="AH20" i="11"/>
  <c r="O40" i="5"/>
  <c r="O53" i="5" s="1"/>
  <c r="O66" i="5" s="1"/>
  <c r="P27" i="5"/>
  <c r="G33" i="10"/>
  <c r="D23" i="17"/>
  <c r="F37" i="10"/>
  <c r="H74" i="5"/>
  <c r="G17" i="9" s="1"/>
  <c r="I54" i="5"/>
  <c r="AM36" i="12" l="1"/>
  <c r="AL27" i="11" s="1"/>
  <c r="AM54" i="12"/>
  <c r="AM33" i="10"/>
  <c r="AM8" i="31" s="1"/>
  <c r="AM20" i="31" s="1"/>
  <c r="AM24" i="31" s="1"/>
  <c r="AM26" i="31" s="1"/>
  <c r="AN30" i="9"/>
  <c r="I28" i="2" s="1"/>
  <c r="I26" i="2"/>
  <c r="AO58" i="5"/>
  <c r="AO46" i="5"/>
  <c r="AO49" i="5" s="1"/>
  <c r="AN27" i="10" s="1"/>
  <c r="AH31" i="11"/>
  <c r="AI9" i="11"/>
  <c r="AL35" i="10"/>
  <c r="AL26" i="31"/>
  <c r="P40" i="5"/>
  <c r="P53" i="5" s="1"/>
  <c r="P66" i="5" s="1"/>
  <c r="Q27" i="5"/>
  <c r="Q40" i="5" s="1"/>
  <c r="G19" i="9"/>
  <c r="E59" i="18" s="1"/>
  <c r="D10" i="18"/>
  <c r="D15" i="18"/>
  <c r="D9" i="11"/>
  <c r="D25" i="17"/>
  <c r="D61" i="18"/>
  <c r="G8" i="31"/>
  <c r="G20" i="31" s="1"/>
  <c r="G24" i="31" s="1"/>
  <c r="E21" i="17"/>
  <c r="I49" i="5"/>
  <c r="H27" i="10" s="1"/>
  <c r="AM35" i="10" l="1"/>
  <c r="AM37" i="10" s="1"/>
  <c r="AK9" i="11" s="1"/>
  <c r="AK20" i="11" s="1"/>
  <c r="AK31" i="11" s="1"/>
  <c r="AN31" i="10"/>
  <c r="AM59" i="12"/>
  <c r="AL29" i="11"/>
  <c r="G93" i="2"/>
  <c r="H93" i="2"/>
  <c r="I93" i="2"/>
  <c r="AI20" i="11"/>
  <c r="AL11" i="11"/>
  <c r="I77" i="2" s="1"/>
  <c r="AN29" i="10"/>
  <c r="I59" i="2"/>
  <c r="E19" i="15" s="1"/>
  <c r="AL37" i="10"/>
  <c r="AO71" i="5"/>
  <c r="AO72" i="5" s="1"/>
  <c r="AO74" i="5" s="1"/>
  <c r="AN17" i="9" s="1"/>
  <c r="AO59" i="5"/>
  <c r="AO61" i="5" s="1"/>
  <c r="Q53" i="5"/>
  <c r="Q66" i="5" s="1"/>
  <c r="F11" i="11"/>
  <c r="H29" i="10"/>
  <c r="F18" i="17"/>
  <c r="G35" i="10"/>
  <c r="G26" i="31"/>
  <c r="I61" i="5"/>
  <c r="I67" i="5"/>
  <c r="H95" i="2" l="1"/>
  <c r="I95" i="2"/>
  <c r="H63" i="2"/>
  <c r="I63" i="2"/>
  <c r="I15" i="2"/>
  <c r="AN19" i="9"/>
  <c r="I17" i="2" s="1"/>
  <c r="G36" i="4" s="1"/>
  <c r="AJ9" i="11"/>
  <c r="AN33" i="10"/>
  <c r="I61" i="2"/>
  <c r="E15" i="15" s="1"/>
  <c r="AI31" i="11"/>
  <c r="E23" i="17"/>
  <c r="G37" i="10"/>
  <c r="I74" i="5"/>
  <c r="H17" i="9" s="1"/>
  <c r="J54" i="5"/>
  <c r="H33" i="10"/>
  <c r="F37" i="4" l="1"/>
  <c r="F49" i="4"/>
  <c r="G49" i="4"/>
  <c r="G37" i="4"/>
  <c r="AN8" i="31"/>
  <c r="AN20" i="31" s="1"/>
  <c r="AN24" i="31" s="1"/>
  <c r="I65" i="2"/>
  <c r="AJ20" i="11"/>
  <c r="H19" i="9"/>
  <c r="F59" i="18" s="1"/>
  <c r="E15" i="18"/>
  <c r="E25" i="17"/>
  <c r="E9" i="11"/>
  <c r="E61" i="18"/>
  <c r="E10" i="18"/>
  <c r="H8" i="31"/>
  <c r="H20" i="31" s="1"/>
  <c r="H24" i="31" s="1"/>
  <c r="F21" i="17"/>
  <c r="J49" i="5"/>
  <c r="I27" i="10" s="1"/>
  <c r="AJ31" i="11" l="1"/>
  <c r="AN35" i="10"/>
  <c r="AN26" i="31"/>
  <c r="E20" i="11"/>
  <c r="H26" i="31"/>
  <c r="H35" i="10"/>
  <c r="J61" i="5"/>
  <c r="J67" i="5"/>
  <c r="G11" i="11"/>
  <c r="G18" i="17"/>
  <c r="I29" i="10"/>
  <c r="I67" i="2" l="1"/>
  <c r="E18" i="15" s="1"/>
  <c r="E22" i="15" s="1"/>
  <c r="E5" i="15" s="1"/>
  <c r="AN37" i="10"/>
  <c r="E31" i="11"/>
  <c r="K54" i="5"/>
  <c r="J74" i="5"/>
  <c r="I17" i="9" s="1"/>
  <c r="I33" i="10"/>
  <c r="F23" i="17"/>
  <c r="H37" i="10"/>
  <c r="AL9" i="11" l="1"/>
  <c r="I69" i="2"/>
  <c r="C33" i="15"/>
  <c r="C34" i="15" s="1"/>
  <c r="E26" i="15"/>
  <c r="I19" i="9"/>
  <c r="G59" i="18" s="1"/>
  <c r="G21" i="17"/>
  <c r="I8" i="31"/>
  <c r="I20" i="31" s="1"/>
  <c r="I24" i="31" s="1"/>
  <c r="F15" i="18"/>
  <c r="F9" i="11"/>
  <c r="F10" i="18"/>
  <c r="F61" i="18"/>
  <c r="F25" i="17"/>
  <c r="K49" i="5"/>
  <c r="J27" i="10" s="1"/>
  <c r="G14" i="4" l="1"/>
  <c r="G38" i="4"/>
  <c r="G9" i="4"/>
  <c r="AL20" i="11"/>
  <c r="I75" i="2"/>
  <c r="F20" i="11"/>
  <c r="F5" i="15" s="1"/>
  <c r="K67" i="5"/>
  <c r="K61" i="5"/>
  <c r="H11" i="11"/>
  <c r="J29" i="10"/>
  <c r="I26" i="31"/>
  <c r="I35" i="10"/>
  <c r="AL31" i="11" l="1"/>
  <c r="I97" i="2" s="1"/>
  <c r="I86" i="2"/>
  <c r="F31" i="11"/>
  <c r="G23" i="17"/>
  <c r="I37" i="10"/>
  <c r="J33" i="10"/>
  <c r="H21" i="17" s="1"/>
  <c r="K74" i="5"/>
  <c r="J17" i="9" s="1"/>
  <c r="L54" i="5"/>
  <c r="J19" i="9" l="1"/>
  <c r="H59" i="18" s="1"/>
  <c r="L49" i="5"/>
  <c r="K27" i="10" s="1"/>
  <c r="J8" i="31"/>
  <c r="J20" i="31" s="1"/>
  <c r="J24" i="31" s="1"/>
  <c r="G15" i="18"/>
  <c r="G25" i="17"/>
  <c r="G10" i="18"/>
  <c r="G9" i="11"/>
  <c r="G61" i="18"/>
  <c r="G20" i="11" l="1"/>
  <c r="L61" i="5"/>
  <c r="L67" i="5"/>
  <c r="J35" i="10"/>
  <c r="H23" i="17" s="1"/>
  <c r="J26" i="31"/>
  <c r="I11" i="11"/>
  <c r="K29" i="10"/>
  <c r="G31" i="11" l="1"/>
  <c r="G5" i="15"/>
  <c r="K33" i="10"/>
  <c r="I21" i="17" s="1"/>
  <c r="J37" i="10"/>
  <c r="H25" i="17" s="1"/>
  <c r="L74" i="5"/>
  <c r="K17" i="9" s="1"/>
  <c r="M54" i="5"/>
  <c r="K19" i="9" l="1"/>
  <c r="I59" i="18" s="1"/>
  <c r="H10" i="18"/>
  <c r="H61" i="18"/>
  <c r="H15" i="18"/>
  <c r="H9" i="11"/>
  <c r="H20" i="11" s="1"/>
  <c r="H5" i="15" s="1"/>
  <c r="M49" i="5"/>
  <c r="L27" i="10" s="1"/>
  <c r="K8" i="31"/>
  <c r="K20" i="31" s="1"/>
  <c r="K24" i="31" s="1"/>
  <c r="J11" i="11" l="1"/>
  <c r="L29" i="10"/>
  <c r="M61" i="5"/>
  <c r="M67" i="5"/>
  <c r="H31" i="11"/>
  <c r="K26" i="31"/>
  <c r="K35" i="10"/>
  <c r="I23" i="17" s="1"/>
  <c r="K37" i="10" l="1"/>
  <c r="I25" i="17" s="1"/>
  <c r="M74" i="5"/>
  <c r="L17" i="9" s="1"/>
  <c r="N54" i="5"/>
  <c r="L33" i="10"/>
  <c r="J21" i="17" s="1"/>
  <c r="L19" i="9" l="1"/>
  <c r="J59" i="18" s="1"/>
  <c r="L8" i="31"/>
  <c r="L20" i="31" s="1"/>
  <c r="L24" i="31" s="1"/>
  <c r="N49" i="5"/>
  <c r="M27" i="10" s="1"/>
  <c r="I15" i="18"/>
  <c r="I10" i="18"/>
  <c r="I61" i="18"/>
  <c r="I9" i="11"/>
  <c r="I20" i="11" s="1"/>
  <c r="I5" i="15" s="1"/>
  <c r="I31" i="11" l="1"/>
  <c r="K11" i="11"/>
  <c r="M29" i="10"/>
  <c r="L26" i="31"/>
  <c r="L35" i="10"/>
  <c r="J23" i="17" s="1"/>
  <c r="N61" i="5"/>
  <c r="N67" i="5"/>
  <c r="M33" i="10" l="1"/>
  <c r="K21" i="17" s="1"/>
  <c r="N74" i="5"/>
  <c r="M17" i="9" s="1"/>
  <c r="O54" i="5"/>
  <c r="L37" i="10"/>
  <c r="J25" i="17" s="1"/>
  <c r="M19" i="9" l="1"/>
  <c r="K59" i="18" s="1"/>
  <c r="J9" i="11"/>
  <c r="J20" i="11" s="1"/>
  <c r="J5" i="15" s="1"/>
  <c r="J61" i="18"/>
  <c r="J10" i="18"/>
  <c r="J15" i="18"/>
  <c r="O49" i="5"/>
  <c r="N27" i="10" s="1"/>
  <c r="M8" i="31"/>
  <c r="M20" i="31" s="1"/>
  <c r="M24" i="31" s="1"/>
  <c r="M35" i="10" l="1"/>
  <c r="K23" i="17" s="1"/>
  <c r="M26" i="31"/>
  <c r="O61" i="5"/>
  <c r="O67" i="5"/>
  <c r="L11" i="11"/>
  <c r="N29" i="10"/>
  <c r="J31" i="11"/>
  <c r="N33" i="10" l="1"/>
  <c r="L21" i="17" s="1"/>
  <c r="O74" i="5"/>
  <c r="N17" i="9" s="1"/>
  <c r="P54" i="5"/>
  <c r="Q54" i="5" s="1"/>
  <c r="Q61" i="5" s="1"/>
  <c r="M37" i="10"/>
  <c r="K25" i="17" s="1"/>
  <c r="N19" i="9" l="1"/>
  <c r="L59" i="18" s="1"/>
  <c r="K61" i="18"/>
  <c r="K10" i="18"/>
  <c r="K15" i="18"/>
  <c r="K9" i="11"/>
  <c r="K20" i="11" s="1"/>
  <c r="K5" i="15" s="1"/>
  <c r="P49" i="5"/>
  <c r="O27" i="10" s="1"/>
  <c r="N8" i="31"/>
  <c r="N20" i="31" s="1"/>
  <c r="N24" i="31" s="1"/>
  <c r="P61" i="5" l="1"/>
  <c r="P67" i="5"/>
  <c r="K31" i="11"/>
  <c r="N35" i="10"/>
  <c r="L23" i="17" s="1"/>
  <c r="N26" i="31"/>
  <c r="M11" i="11"/>
  <c r="O29" i="10"/>
  <c r="N37" i="10" l="1"/>
  <c r="L25" i="17" s="1"/>
  <c r="O33" i="10"/>
  <c r="M21" i="17" s="1"/>
  <c r="P74" i="5"/>
  <c r="O17" i="9" s="1"/>
  <c r="O19" i="9" l="1"/>
  <c r="M59" i="18" s="1"/>
  <c r="Q49" i="5"/>
  <c r="P27" i="10" s="1"/>
  <c r="L61" i="18"/>
  <c r="L10" i="18"/>
  <c r="L15" i="18"/>
  <c r="L9" i="11"/>
  <c r="L20" i="11" s="1"/>
  <c r="L5" i="15" s="1"/>
  <c r="O8" i="31"/>
  <c r="O20" i="31" s="1"/>
  <c r="O24" i="31" s="1"/>
  <c r="G59" i="2" l="1"/>
  <c r="O26" i="31"/>
  <c r="O35" i="10"/>
  <c r="M23" i="17" s="1"/>
  <c r="N11" i="11"/>
  <c r="G77" i="2" s="1"/>
  <c r="P29" i="10"/>
  <c r="L31" i="11"/>
  <c r="Q74" i="5" l="1"/>
  <c r="P17" i="9" s="1"/>
  <c r="G15" i="2" s="1"/>
  <c r="P33" i="10"/>
  <c r="N21" i="17" s="1"/>
  <c r="O37" i="10"/>
  <c r="M25" i="17" s="1"/>
  <c r="P19" i="9" l="1"/>
  <c r="G17" i="2" s="1"/>
  <c r="P8" i="31"/>
  <c r="P20" i="31" s="1"/>
  <c r="P24" i="31" s="1"/>
  <c r="M9" i="11"/>
  <c r="M20" i="11" s="1"/>
  <c r="M5" i="15" s="1"/>
  <c r="M61" i="18"/>
  <c r="M10" i="18"/>
  <c r="M15" i="18"/>
  <c r="E36" i="4" l="1"/>
  <c r="F36" i="4"/>
  <c r="K13" i="22"/>
  <c r="K14" i="22"/>
  <c r="N59" i="18"/>
  <c r="P35" i="10"/>
  <c r="N23" i="17" s="1"/>
  <c r="P26" i="31"/>
  <c r="M31" i="11"/>
  <c r="P37" i="10" l="1"/>
  <c r="N25" i="17" s="1"/>
  <c r="N15" i="18" l="1"/>
  <c r="N61" i="18"/>
  <c r="N10" i="18"/>
  <c r="N9" i="11"/>
  <c r="N20" i="11" l="1"/>
  <c r="N5" i="15" l="1"/>
  <c r="N31" i="11"/>
  <c r="O89" i="6" l="1"/>
  <c r="E9" i="10" l="1"/>
  <c r="C6" i="17" s="1"/>
  <c r="C39" i="18" l="1"/>
  <c r="G41" i="2"/>
  <c r="E46" i="4" s="1"/>
  <c r="C7" i="16"/>
  <c r="C11" i="16" s="1"/>
  <c r="C13" i="16" s="1"/>
  <c r="C17" i="18" l="1"/>
  <c r="O103" i="6"/>
  <c r="O105" i="6" s="1"/>
  <c r="E10" i="10"/>
  <c r="C7" i="17" l="1"/>
  <c r="G42" i="2"/>
  <c r="E47" i="4" s="1"/>
  <c r="O106" i="6"/>
  <c r="F11" i="25"/>
  <c r="E22" i="10" s="1"/>
  <c r="G54" i="2" s="1"/>
  <c r="C19" i="15" s="1"/>
  <c r="E18" i="8"/>
  <c r="E23" i="8" s="1"/>
  <c r="E12" i="9" s="1"/>
  <c r="E19" i="8"/>
  <c r="E24" i="8" s="1"/>
  <c r="E23" i="9" s="1"/>
  <c r="D18" i="11" s="1"/>
  <c r="E11" i="10"/>
  <c r="C8" i="16"/>
  <c r="C15" i="16" s="1"/>
  <c r="G43" i="2" l="1"/>
  <c r="E45" i="4" s="1"/>
  <c r="C8" i="17"/>
  <c r="F12" i="25"/>
  <c r="C13" i="11"/>
  <c r="G79" i="2" s="1"/>
  <c r="E26" i="9"/>
  <c r="C18" i="11"/>
  <c r="G84" i="2" s="1"/>
  <c r="E28" i="8"/>
  <c r="C25" i="18" s="1"/>
  <c r="C9" i="16"/>
  <c r="E13" i="10"/>
  <c r="G45" i="2" s="1"/>
  <c r="E7" i="4" s="1"/>
  <c r="C38" i="18"/>
  <c r="C17" i="11"/>
  <c r="D17" i="11"/>
  <c r="E23" i="10"/>
  <c r="G55" i="2" s="1"/>
  <c r="E33" i="4" l="1"/>
  <c r="E32" i="4"/>
  <c r="G83" i="2"/>
  <c r="C20" i="15" s="1"/>
  <c r="C8" i="18"/>
  <c r="C10" i="17"/>
  <c r="D20" i="11"/>
  <c r="E25" i="10"/>
  <c r="C8" i="28" s="1"/>
  <c r="E34" i="4" l="1"/>
  <c r="D5" i="15"/>
  <c r="D31" i="11"/>
  <c r="C9" i="28"/>
  <c r="G57" i="2"/>
  <c r="E15" i="4" s="1"/>
  <c r="C60" i="18"/>
  <c r="C16" i="17"/>
  <c r="E29" i="10"/>
  <c r="G61" i="2" s="1"/>
  <c r="C15" i="15" s="1"/>
  <c r="C16" i="18"/>
  <c r="C10" i="28"/>
  <c r="C9" i="18"/>
  <c r="C16" i="15" l="1"/>
  <c r="E8" i="4"/>
  <c r="E37" i="4"/>
  <c r="E33" i="10"/>
  <c r="G65" i="2" s="1"/>
  <c r="C21" i="17" l="1"/>
  <c r="E8" i="31"/>
  <c r="E20" i="31" s="1"/>
  <c r="E24" i="31" s="1"/>
  <c r="E26" i="31" l="1"/>
  <c r="E35" i="10"/>
  <c r="G67" i="2" s="1"/>
  <c r="C18" i="15" s="1"/>
  <c r="C22" i="15" s="1"/>
  <c r="C26" i="15" l="1"/>
  <c r="C23" i="17"/>
  <c r="E37" i="10"/>
  <c r="G69" i="2" s="1"/>
  <c r="E38" i="4" l="1"/>
  <c r="E14" i="4"/>
  <c r="H39" i="15"/>
  <c r="H41" i="15" s="1"/>
  <c r="H61" i="15" s="1"/>
  <c r="C31" i="15"/>
  <c r="C36" i="15" s="1"/>
  <c r="C45" i="15" s="1"/>
  <c r="C61" i="15" s="1"/>
  <c r="E9" i="4"/>
  <c r="E32" i="9"/>
  <c r="C25" i="17"/>
  <c r="C61" i="18"/>
  <c r="C10" i="18"/>
  <c r="C9" i="11"/>
  <c r="G75" i="2" s="1"/>
  <c r="C15" i="18"/>
  <c r="D69" i="15" l="1"/>
  <c r="D84" i="15"/>
  <c r="E34" i="9"/>
  <c r="C44" i="18" s="1"/>
  <c r="F32" i="9"/>
  <c r="E116" i="9"/>
  <c r="C11" i="18"/>
  <c r="C12" i="18"/>
  <c r="C20" i="11"/>
  <c r="C5" i="15" l="1"/>
  <c r="C31" i="11"/>
  <c r="C34" i="11" s="1"/>
  <c r="G86" i="2"/>
  <c r="C43" i="18"/>
  <c r="F116" i="9"/>
  <c r="F34" i="9"/>
  <c r="D44" i="18" s="1"/>
  <c r="G32" i="9"/>
  <c r="D12" i="18"/>
  <c r="D11" i="18"/>
  <c r="G97" i="2" l="1"/>
  <c r="H32" i="9"/>
  <c r="E12" i="18"/>
  <c r="E11" i="18"/>
  <c r="G34" i="9"/>
  <c r="E44" i="18" s="1"/>
  <c r="D43" i="18"/>
  <c r="E10" i="9"/>
  <c r="C38" i="11" l="1"/>
  <c r="E43" i="18"/>
  <c r="F11" i="18"/>
  <c r="H34" i="9"/>
  <c r="F44" i="18" s="1"/>
  <c r="F12" i="18"/>
  <c r="I32" i="9"/>
  <c r="F43" i="18" l="1"/>
  <c r="G12" i="18"/>
  <c r="G11" i="18"/>
  <c r="I34" i="9"/>
  <c r="G44" i="18" s="1"/>
  <c r="J32" i="9"/>
  <c r="C29" i="18"/>
  <c r="D32" i="11"/>
  <c r="D34" i="11" s="1"/>
  <c r="F10" i="9" s="1"/>
  <c r="E14" i="9"/>
  <c r="C28" i="18"/>
  <c r="C27" i="18" l="1"/>
  <c r="C26" i="18"/>
  <c r="C30" i="18"/>
  <c r="E21" i="9"/>
  <c r="D38" i="11"/>
  <c r="H11" i="18"/>
  <c r="H12" i="18"/>
  <c r="J34" i="9"/>
  <c r="H44" i="18" s="1"/>
  <c r="K32" i="9"/>
  <c r="G43" i="18"/>
  <c r="H43" i="18" l="1"/>
  <c r="D29" i="18"/>
  <c r="D28" i="18"/>
  <c r="F14" i="9"/>
  <c r="E32" i="11"/>
  <c r="E34" i="11" s="1"/>
  <c r="C45" i="18"/>
  <c r="E118" i="9"/>
  <c r="E3" i="9"/>
  <c r="C58" i="18"/>
  <c r="C13" i="18"/>
  <c r="I11" i="18"/>
  <c r="I12" i="18"/>
  <c r="K34" i="9"/>
  <c r="I44" i="18" s="1"/>
  <c r="L32" i="9"/>
  <c r="L34" i="9" l="1"/>
  <c r="J44" i="18" s="1"/>
  <c r="J12" i="18"/>
  <c r="J11" i="18"/>
  <c r="M32" i="9"/>
  <c r="E38" i="11"/>
  <c r="G10" i="9"/>
  <c r="C3" i="11"/>
  <c r="E36" i="9"/>
  <c r="I43" i="18"/>
  <c r="D26" i="18"/>
  <c r="D27" i="18"/>
  <c r="D30" i="18"/>
  <c r="F21" i="9"/>
  <c r="J43" i="18" l="1"/>
  <c r="D58" i="18"/>
  <c r="D45" i="18"/>
  <c r="F118" i="9"/>
  <c r="F3" i="9"/>
  <c r="D13" i="18"/>
  <c r="E28" i="18"/>
  <c r="F32" i="11"/>
  <c r="F34" i="11" s="1"/>
  <c r="G14" i="9"/>
  <c r="E29" i="18"/>
  <c r="K12" i="18"/>
  <c r="K11" i="18"/>
  <c r="N32" i="9"/>
  <c r="M34" i="9"/>
  <c r="K44" i="18" s="1"/>
  <c r="H10" i="9" l="1"/>
  <c r="F38" i="11"/>
  <c r="N34" i="9"/>
  <c r="L44" i="18" s="1"/>
  <c r="O32" i="9"/>
  <c r="L11" i="18"/>
  <c r="L12" i="18"/>
  <c r="D3" i="11"/>
  <c r="F36" i="9"/>
  <c r="K43" i="18"/>
  <c r="E30" i="18"/>
  <c r="E27" i="18"/>
  <c r="E26" i="18"/>
  <c r="G21" i="9"/>
  <c r="E13" i="18" l="1"/>
  <c r="G3" i="9"/>
  <c r="E58" i="18"/>
  <c r="E45" i="18"/>
  <c r="L43" i="18"/>
  <c r="O34" i="9"/>
  <c r="M44" i="18" s="1"/>
  <c r="P32" i="9"/>
  <c r="Q32" i="9" s="1"/>
  <c r="M12" i="18"/>
  <c r="M11" i="18"/>
  <c r="H14" i="9"/>
  <c r="F28" i="18"/>
  <c r="F29" i="18"/>
  <c r="G32" i="11"/>
  <c r="G34" i="11" s="1"/>
  <c r="R32" i="9" l="1"/>
  <c r="Q34" i="9"/>
  <c r="G38" i="11"/>
  <c r="I10" i="9"/>
  <c r="G30" i="2"/>
  <c r="N11" i="18"/>
  <c r="N12" i="18"/>
  <c r="P34" i="9"/>
  <c r="F27" i="18"/>
  <c r="H21" i="9"/>
  <c r="F26" i="18"/>
  <c r="F30" i="18"/>
  <c r="G36" i="9"/>
  <c r="E3" i="11"/>
  <c r="M43" i="18"/>
  <c r="G71" i="2" l="1"/>
  <c r="E11" i="4"/>
  <c r="E10" i="4"/>
  <c r="S32" i="9"/>
  <c r="R34" i="9"/>
  <c r="G32" i="2"/>
  <c r="E51" i="4" s="1"/>
  <c r="N44" i="18"/>
  <c r="N43" i="18"/>
  <c r="I14" i="9"/>
  <c r="G28" i="18"/>
  <c r="H32" i="11"/>
  <c r="H34" i="11" s="1"/>
  <c r="G29" i="18"/>
  <c r="F45" i="18"/>
  <c r="H3" i="9"/>
  <c r="F58" i="18"/>
  <c r="F13" i="18"/>
  <c r="T32" i="9" l="1"/>
  <c r="S34" i="9"/>
  <c r="G27" i="18"/>
  <c r="G26" i="18"/>
  <c r="G30" i="18"/>
  <c r="I21" i="9"/>
  <c r="F3" i="11"/>
  <c r="H36" i="9"/>
  <c r="J10" i="9"/>
  <c r="H38" i="11"/>
  <c r="U32" i="9" l="1"/>
  <c r="T34" i="9"/>
  <c r="I32" i="11"/>
  <c r="I34" i="11" s="1"/>
  <c r="H29" i="18"/>
  <c r="J14" i="9"/>
  <c r="H28" i="18"/>
  <c r="G45" i="18"/>
  <c r="G13" i="18"/>
  <c r="I3" i="9"/>
  <c r="E12" i="22" s="1"/>
  <c r="G58" i="18"/>
  <c r="V32" i="9" l="1"/>
  <c r="U34" i="9"/>
  <c r="H30" i="18"/>
  <c r="H27" i="18"/>
  <c r="H26" i="18"/>
  <c r="J21" i="9"/>
  <c r="I38" i="11"/>
  <c r="K10" i="9"/>
  <c r="G3" i="11"/>
  <c r="E13" i="22" s="1"/>
  <c r="I36" i="9"/>
  <c r="V34" i="9" l="1"/>
  <c r="W32" i="9"/>
  <c r="H58" i="18"/>
  <c r="H13" i="18"/>
  <c r="J3" i="9"/>
  <c r="H45" i="18"/>
  <c r="K14" i="9"/>
  <c r="J32" i="11"/>
  <c r="J34" i="11" s="1"/>
  <c r="I28" i="18"/>
  <c r="I29" i="18"/>
  <c r="X32" i="9" l="1"/>
  <c r="W34" i="9"/>
  <c r="J38" i="11"/>
  <c r="L10" i="9"/>
  <c r="I27" i="18"/>
  <c r="K21" i="9"/>
  <c r="I26" i="18"/>
  <c r="I30" i="18"/>
  <c r="H3" i="11"/>
  <c r="J36" i="9"/>
  <c r="Y32" i="9" l="1"/>
  <c r="X34" i="9"/>
  <c r="K3" i="9"/>
  <c r="I13" i="18"/>
  <c r="I58" i="18"/>
  <c r="I45" i="18"/>
  <c r="J29" i="18"/>
  <c r="J28" i="18"/>
  <c r="L14" i="9"/>
  <c r="K32" i="11"/>
  <c r="K34" i="11" s="1"/>
  <c r="Y34" i="9" l="1"/>
  <c r="Z32" i="9"/>
  <c r="J27" i="18"/>
  <c r="J30" i="18"/>
  <c r="J26" i="18"/>
  <c r="L21" i="9"/>
  <c r="M10" i="9"/>
  <c r="K38" i="11"/>
  <c r="I3" i="11"/>
  <c r="K36" i="9"/>
  <c r="AA32" i="9" l="1"/>
  <c r="Z34" i="9"/>
  <c r="L32" i="11"/>
  <c r="L34" i="11" s="1"/>
  <c r="M14" i="9"/>
  <c r="K29" i="18"/>
  <c r="K28" i="18"/>
  <c r="J58" i="18"/>
  <c r="L3" i="9"/>
  <c r="J13" i="18"/>
  <c r="J45" i="18"/>
  <c r="AA34" i="9" l="1"/>
  <c r="AB32" i="9"/>
  <c r="H30" i="2" s="1"/>
  <c r="J3" i="11"/>
  <c r="L36" i="9"/>
  <c r="M21" i="9"/>
  <c r="K30" i="18"/>
  <c r="K27" i="18"/>
  <c r="K26" i="18"/>
  <c r="N10" i="9"/>
  <c r="L38" i="11"/>
  <c r="F10" i="4" l="1"/>
  <c r="F11" i="4"/>
  <c r="AB34" i="9"/>
  <c r="H32" i="2" s="1"/>
  <c r="F51" i="4" s="1"/>
  <c r="AC32" i="9"/>
  <c r="M3" i="9"/>
  <c r="K13" i="18"/>
  <c r="K58" i="18"/>
  <c r="K45" i="18"/>
  <c r="L28" i="18"/>
  <c r="L29" i="18"/>
  <c r="M32" i="11"/>
  <c r="M34" i="11" s="1"/>
  <c r="N14" i="9"/>
  <c r="AC34" i="9" l="1"/>
  <c r="AD32" i="9"/>
  <c r="M38" i="11"/>
  <c r="O10" i="9"/>
  <c r="N21" i="9"/>
  <c r="L30" i="18"/>
  <c r="L26" i="18"/>
  <c r="L27" i="18"/>
  <c r="M36" i="9"/>
  <c r="K3" i="11"/>
  <c r="AE32" i="9" l="1"/>
  <c r="AD34" i="9"/>
  <c r="L58" i="18"/>
  <c r="N3" i="9"/>
  <c r="L45" i="18"/>
  <c r="L13" i="18"/>
  <c r="N32" i="11"/>
  <c r="N34" i="11" s="1"/>
  <c r="G100" i="2" s="1"/>
  <c r="M28" i="18"/>
  <c r="M29" i="18"/>
  <c r="O14" i="9"/>
  <c r="H98" i="2" l="1"/>
  <c r="AF32" i="9"/>
  <c r="AE34" i="9"/>
  <c r="L3" i="11"/>
  <c r="N36" i="9"/>
  <c r="P10" i="9"/>
  <c r="G8" i="2" s="1"/>
  <c r="N38" i="11"/>
  <c r="M26" i="18"/>
  <c r="O21" i="9"/>
  <c r="M27" i="18"/>
  <c r="M30" i="18"/>
  <c r="G102" i="2" l="1"/>
  <c r="E24" i="4"/>
  <c r="E25" i="4"/>
  <c r="O32" i="11"/>
  <c r="O34" i="11" s="1"/>
  <c r="AG32" i="9"/>
  <c r="AF34" i="9"/>
  <c r="M45" i="18"/>
  <c r="M13" i="18"/>
  <c r="O3" i="9"/>
  <c r="M58" i="18"/>
  <c r="N29" i="18"/>
  <c r="N28" i="18"/>
  <c r="P14" i="9"/>
  <c r="G12" i="2" s="1"/>
  <c r="AG34" i="9" l="1"/>
  <c r="AH32" i="9"/>
  <c r="Q10" i="9"/>
  <c r="O38" i="11"/>
  <c r="O36" i="9"/>
  <c r="M3" i="11"/>
  <c r="N26" i="18"/>
  <c r="N30" i="18"/>
  <c r="N27" i="18"/>
  <c r="P21" i="9"/>
  <c r="E23" i="4" l="1"/>
  <c r="E52" i="4"/>
  <c r="E22" i="4"/>
  <c r="E26" i="4" s="1"/>
  <c r="P32" i="11"/>
  <c r="P34" i="11" s="1"/>
  <c r="Q14" i="9"/>
  <c r="Q21" i="9" s="1"/>
  <c r="Q3" i="9" s="1"/>
  <c r="AH34" i="9"/>
  <c r="AI32" i="9"/>
  <c r="G19" i="2"/>
  <c r="N45" i="18"/>
  <c r="N58" i="18"/>
  <c r="P3" i="9"/>
  <c r="N13" i="18"/>
  <c r="G3" i="2" l="1"/>
  <c r="E35" i="4"/>
  <c r="E12" i="4"/>
  <c r="E50" i="4"/>
  <c r="AI34" i="9"/>
  <c r="AJ32" i="9"/>
  <c r="Q36" i="9"/>
  <c r="O3" i="11"/>
  <c r="P38" i="11"/>
  <c r="R10" i="9"/>
  <c r="N3" i="11"/>
  <c r="P36" i="9"/>
  <c r="Q32" i="11" l="1"/>
  <c r="Q34" i="11" s="1"/>
  <c r="R14" i="9"/>
  <c r="R21" i="9" s="1"/>
  <c r="R3" i="9" s="1"/>
  <c r="AK32" i="9"/>
  <c r="AJ34" i="9"/>
  <c r="AL32" i="9" l="1"/>
  <c r="AK34" i="9"/>
  <c r="R36" i="9"/>
  <c r="P3" i="11"/>
  <c r="S10" i="9"/>
  <c r="Q38" i="11"/>
  <c r="R32" i="11" l="1"/>
  <c r="R34" i="11" s="1"/>
  <c r="S14" i="9"/>
  <c r="S21" i="9" s="1"/>
  <c r="S3" i="9" s="1"/>
  <c r="AM32" i="9"/>
  <c r="AL34" i="9"/>
  <c r="AM34" i="9" l="1"/>
  <c r="AN32" i="9"/>
  <c r="S36" i="9"/>
  <c r="Q3" i="11"/>
  <c r="R38" i="11"/>
  <c r="T10" i="9"/>
  <c r="AN34" i="9" l="1"/>
  <c r="I32" i="2" s="1"/>
  <c r="I30" i="2"/>
  <c r="G10" i="4" s="1"/>
  <c r="S32" i="11"/>
  <c r="S34" i="11" s="1"/>
  <c r="T14" i="9"/>
  <c r="T21" i="9" s="1"/>
  <c r="T3" i="9" s="1"/>
  <c r="G11" i="4" l="1"/>
  <c r="G51" i="4"/>
  <c r="T36" i="9"/>
  <c r="R3" i="11"/>
  <c r="U10" i="9"/>
  <c r="S38" i="11"/>
  <c r="U14" i="9" l="1"/>
  <c r="U21" i="9" s="1"/>
  <c r="U3" i="9" s="1"/>
  <c r="T32" i="11"/>
  <c r="T34" i="11" s="1"/>
  <c r="T38" i="11" l="1"/>
  <c r="V10" i="9"/>
  <c r="S3" i="11"/>
  <c r="U36" i="9"/>
  <c r="V14" i="9" l="1"/>
  <c r="V21" i="9" s="1"/>
  <c r="V3" i="9" s="1"/>
  <c r="U32" i="11"/>
  <c r="U34" i="11" s="1"/>
  <c r="W10" i="9" l="1"/>
  <c r="U38" i="11"/>
  <c r="V36" i="9"/>
  <c r="T3" i="11"/>
  <c r="W14" i="9" l="1"/>
  <c r="W21" i="9" s="1"/>
  <c r="W3" i="9" s="1"/>
  <c r="V32" i="11"/>
  <c r="V34" i="11" s="1"/>
  <c r="V38" i="11" l="1"/>
  <c r="X10" i="9"/>
  <c r="W36" i="9"/>
  <c r="U3" i="11"/>
  <c r="X14" i="9" l="1"/>
  <c r="X21" i="9" s="1"/>
  <c r="X3" i="9" s="1"/>
  <c r="W32" i="11"/>
  <c r="W34" i="11" s="1"/>
  <c r="W38" i="11" l="1"/>
  <c r="Y10" i="9"/>
  <c r="X36" i="9"/>
  <c r="V3" i="11"/>
  <c r="Y14" i="9" l="1"/>
  <c r="Y21" i="9" s="1"/>
  <c r="Y3" i="9" s="1"/>
  <c r="X32" i="11"/>
  <c r="X34" i="11" s="1"/>
  <c r="Z10" i="9" l="1"/>
  <c r="X38" i="11"/>
  <c r="Y36" i="9"/>
  <c r="W3" i="11"/>
  <c r="Z14" i="9" l="1"/>
  <c r="Z21" i="9" s="1"/>
  <c r="Z3" i="9" s="1"/>
  <c r="Y32" i="11"/>
  <c r="Y34" i="11" s="1"/>
  <c r="Y38" i="11" l="1"/>
  <c r="AA10" i="9"/>
  <c r="Z32" i="11" s="1"/>
  <c r="Z34" i="11" s="1"/>
  <c r="H100" i="2" s="1"/>
  <c r="Z36" i="9"/>
  <c r="X3" i="11"/>
  <c r="AA14" i="9" l="1"/>
  <c r="AA21" i="9" s="1"/>
  <c r="AA3" i="9" s="1"/>
  <c r="AB10" i="9" l="1"/>
  <c r="Z38" i="11"/>
  <c r="AA36" i="9"/>
  <c r="Y3" i="11"/>
  <c r="H8" i="2" l="1"/>
  <c r="F25" i="4" s="1"/>
  <c r="AA32" i="11"/>
  <c r="AA34" i="11" s="1"/>
  <c r="AB14" i="9"/>
  <c r="F24" i="4" l="1"/>
  <c r="H102" i="2"/>
  <c r="I98" i="2"/>
  <c r="AB21" i="9"/>
  <c r="H12" i="2"/>
  <c r="AA38" i="11"/>
  <c r="AC10" i="9"/>
  <c r="F22" i="4" l="1"/>
  <c r="F26" i="4" s="1"/>
  <c r="F23" i="4"/>
  <c r="F52" i="4"/>
  <c r="AB3" i="9"/>
  <c r="H19" i="2"/>
  <c r="AC14" i="9"/>
  <c r="AC21" i="9" s="1"/>
  <c r="AC3" i="9" s="1"/>
  <c r="AB32" i="11"/>
  <c r="AB34" i="11" s="1"/>
  <c r="F50" i="4" l="1"/>
  <c r="F35" i="4"/>
  <c r="H3" i="2"/>
  <c r="F12" i="4"/>
  <c r="Z3" i="11"/>
  <c r="AB36" i="9"/>
  <c r="AD10" i="9"/>
  <c r="AB38" i="11"/>
  <c r="AC36" i="9"/>
  <c r="AA3" i="11"/>
  <c r="H34" i="2" l="1"/>
  <c r="H71" i="2" s="1"/>
  <c r="AD14" i="9"/>
  <c r="AD21" i="9" s="1"/>
  <c r="AD3" i="9" s="1"/>
  <c r="AC32" i="11"/>
  <c r="AC34" i="11" s="1"/>
  <c r="AE10" i="9" l="1"/>
  <c r="AC38" i="11"/>
  <c r="AD36" i="9"/>
  <c r="AB3" i="11"/>
  <c r="AE14" i="9" l="1"/>
  <c r="AE21" i="9" s="1"/>
  <c r="AE3" i="9" s="1"/>
  <c r="AD32" i="11"/>
  <c r="AD34" i="11" s="1"/>
  <c r="AD38" i="11" l="1"/>
  <c r="AF10" i="9"/>
  <c r="AE36" i="9"/>
  <c r="AC3" i="11"/>
  <c r="AF14" i="9" l="1"/>
  <c r="AF21" i="9" s="1"/>
  <c r="AF3" i="9" s="1"/>
  <c r="AE32" i="11"/>
  <c r="AE34" i="11" s="1"/>
  <c r="AG10" i="9" l="1"/>
  <c r="AE38" i="11"/>
  <c r="AF36" i="9"/>
  <c r="AD3" i="11"/>
  <c r="AF32" i="11" l="1"/>
  <c r="AF34" i="11" s="1"/>
  <c r="AG14" i="9"/>
  <c r="AG21" i="9" s="1"/>
  <c r="AG3" i="9" s="1"/>
  <c r="AG36" i="9" l="1"/>
  <c r="AE3" i="11"/>
  <c r="AH10" i="9"/>
  <c r="AF38" i="11"/>
  <c r="AH14" i="9" l="1"/>
  <c r="AH21" i="9" s="1"/>
  <c r="AH3" i="9" s="1"/>
  <c r="AG32" i="11"/>
  <c r="AG34" i="11" s="1"/>
  <c r="AI10" i="9" l="1"/>
  <c r="AG38" i="11"/>
  <c r="AF3" i="11"/>
  <c r="AH36" i="9"/>
  <c r="AH32" i="11" l="1"/>
  <c r="AH34" i="11" s="1"/>
  <c r="AI14" i="9"/>
  <c r="AI21" i="9" s="1"/>
  <c r="AI3" i="9" s="1"/>
  <c r="AG3" i="11" l="1"/>
  <c r="AI36" i="9"/>
  <c r="AH38" i="11"/>
  <c r="AJ10" i="9"/>
  <c r="AI32" i="11" l="1"/>
  <c r="AI34" i="11" s="1"/>
  <c r="AJ14" i="9"/>
  <c r="AJ21" i="9" s="1"/>
  <c r="AJ3" i="9" s="1"/>
  <c r="AJ36" i="9" l="1"/>
  <c r="AH3" i="11"/>
  <c r="AK10" i="9"/>
  <c r="AI38" i="11"/>
  <c r="AK14" i="9" l="1"/>
  <c r="AK21" i="9" s="1"/>
  <c r="AK3" i="9" s="1"/>
  <c r="AJ32" i="11"/>
  <c r="AJ34" i="11" s="1"/>
  <c r="AL10" i="9" l="1"/>
  <c r="AJ38" i="11"/>
  <c r="AI3" i="11"/>
  <c r="AK36" i="9"/>
  <c r="AL14" i="9" l="1"/>
  <c r="AL21" i="9" s="1"/>
  <c r="AL3" i="9" s="1"/>
  <c r="AK32" i="11"/>
  <c r="AK34" i="11" s="1"/>
  <c r="AK38" i="11" l="1"/>
  <c r="AM10" i="9"/>
  <c r="AJ3" i="11"/>
  <c r="AL36" i="9"/>
  <c r="AM14" i="9" l="1"/>
  <c r="AM21" i="9" s="1"/>
  <c r="AM3" i="9" s="1"/>
  <c r="AL32" i="11"/>
  <c r="AL34" i="11" s="1"/>
  <c r="I100" i="2" s="1"/>
  <c r="AL38" i="11" l="1"/>
  <c r="AN10" i="9"/>
  <c r="I8" i="2" s="1"/>
  <c r="AK3" i="11"/>
  <c r="AM36" i="9"/>
  <c r="I102" i="2" l="1"/>
  <c r="C31" i="19"/>
  <c r="G24" i="4"/>
  <c r="G25" i="4"/>
  <c r="AN14" i="9"/>
  <c r="E31" i="19" l="1"/>
  <c r="E33" i="19" s="1"/>
  <c r="E35" i="19" s="1"/>
  <c r="D31" i="19"/>
  <c r="D33" i="19" s="1"/>
  <c r="D35" i="19" s="1"/>
  <c r="C33" i="19"/>
  <c r="C35" i="19" s="1"/>
  <c r="AN21" i="9"/>
  <c r="I12" i="2"/>
  <c r="G23" i="4" l="1"/>
  <c r="G52" i="4"/>
  <c r="G22" i="4"/>
  <c r="G26" i="4" s="1"/>
  <c r="AN3" i="9"/>
  <c r="I19" i="2"/>
  <c r="G35" i="4" s="1"/>
  <c r="I3" i="2" l="1"/>
  <c r="G12" i="4"/>
  <c r="G50" i="4"/>
  <c r="AN36" i="9"/>
  <c r="AL3" i="11"/>
  <c r="K9" i="22"/>
  <c r="I34" i="2" l="1"/>
  <c r="I7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<sst xmlns="http://schemas.openxmlformats.org/spreadsheetml/2006/main" count="1103" uniqueCount="619">
  <si>
    <t>Project name</t>
  </si>
  <si>
    <t>Currency</t>
  </si>
  <si>
    <t>Current year</t>
  </si>
  <si>
    <t>Corporate income tax rate</t>
  </si>
  <si>
    <t>Discount rate</t>
  </si>
  <si>
    <t>Fill blue cells only</t>
  </si>
  <si>
    <t>Try not to change formula in other cells</t>
  </si>
  <si>
    <t>Balance sheet</t>
  </si>
  <si>
    <t>Fixed assets</t>
  </si>
  <si>
    <t>Current assets</t>
  </si>
  <si>
    <t>Total assets</t>
  </si>
  <si>
    <t>Cash</t>
  </si>
  <si>
    <t>Inventories</t>
  </si>
  <si>
    <t>Account Receivable</t>
  </si>
  <si>
    <t>Intangible assets</t>
  </si>
  <si>
    <t>Tangible assets</t>
  </si>
  <si>
    <t>Equity</t>
  </si>
  <si>
    <t>Trade payables</t>
  </si>
  <si>
    <t>Financial liabilities</t>
  </si>
  <si>
    <t>Other liabilities</t>
  </si>
  <si>
    <t>Current liabilities</t>
  </si>
  <si>
    <t>Check</t>
  </si>
  <si>
    <t>Total Equity and liabilities</t>
  </si>
  <si>
    <t>Profit and Loss Account</t>
  </si>
  <si>
    <t>Revenues</t>
  </si>
  <si>
    <t>COGS variable</t>
  </si>
  <si>
    <t>COGS fixed</t>
  </si>
  <si>
    <t>COGS</t>
  </si>
  <si>
    <t>Gross profit</t>
  </si>
  <si>
    <t>Overhead - variable</t>
  </si>
  <si>
    <t>Overhead  - fixed</t>
  </si>
  <si>
    <t>Overhead costs</t>
  </si>
  <si>
    <t>EBITDA / Operating profit</t>
  </si>
  <si>
    <t>Depreciation and amortization</t>
  </si>
  <si>
    <t>Interest and financial expenses</t>
  </si>
  <si>
    <t>Financial income</t>
  </si>
  <si>
    <t>EBT</t>
  </si>
  <si>
    <t>Tax</t>
  </si>
  <si>
    <t>RATIO ANALYSIS</t>
  </si>
  <si>
    <t>Profitability ratios</t>
  </si>
  <si>
    <t>Gross profit margin</t>
  </si>
  <si>
    <t>EBITDA Margin</t>
  </si>
  <si>
    <t>Net income</t>
  </si>
  <si>
    <t>Net profit rate</t>
  </si>
  <si>
    <t>ROE</t>
  </si>
  <si>
    <t>ROCE</t>
  </si>
  <si>
    <t>ROA</t>
  </si>
  <si>
    <t>Liquidity</t>
  </si>
  <si>
    <t>Net working capital</t>
  </si>
  <si>
    <t>Current ratio</t>
  </si>
  <si>
    <t>Cash ratio</t>
  </si>
  <si>
    <t>Quick ratio</t>
  </si>
  <si>
    <t>Efficiency</t>
  </si>
  <si>
    <t>DSO</t>
  </si>
  <si>
    <t>DIO</t>
  </si>
  <si>
    <t>DPO</t>
  </si>
  <si>
    <t>Asset turnover</t>
  </si>
  <si>
    <t>Structure</t>
  </si>
  <si>
    <t>Cash flow statement</t>
  </si>
  <si>
    <t>CF from operating activities</t>
  </si>
  <si>
    <t>CF from investing activities</t>
  </si>
  <si>
    <t>CF from financing activities</t>
  </si>
  <si>
    <t>Long term fin. liabilities</t>
  </si>
  <si>
    <t>Total cash flow</t>
  </si>
  <si>
    <t>Cash at the beginning of period</t>
  </si>
  <si>
    <t>Cash at the end of period</t>
  </si>
  <si>
    <t>Tax effective rate</t>
  </si>
  <si>
    <t>Ratio analysis</t>
  </si>
  <si>
    <t>EBITDA margin</t>
  </si>
  <si>
    <t>Current assets - Current liabilities</t>
  </si>
  <si>
    <t>Days sales outstanding</t>
  </si>
  <si>
    <t>Days inventory outstanding</t>
  </si>
  <si>
    <t>Days payable outstanding</t>
  </si>
  <si>
    <t>Cash conversion cycle days</t>
  </si>
  <si>
    <t>Useful life in years</t>
  </si>
  <si>
    <t>Existing assets</t>
  </si>
  <si>
    <t>New investment</t>
  </si>
  <si>
    <t>Total</t>
  </si>
  <si>
    <t>Total COGS in Revenue</t>
  </si>
  <si>
    <t>COGS variable in revenue</t>
  </si>
  <si>
    <t>COGS fixed in revenue</t>
  </si>
  <si>
    <t>Total COGS</t>
  </si>
  <si>
    <t>Overhead fixed</t>
  </si>
  <si>
    <t>Overhead variable</t>
  </si>
  <si>
    <t>Utilities</t>
  </si>
  <si>
    <t>Rent</t>
  </si>
  <si>
    <t>Phone internet</t>
  </si>
  <si>
    <t>Maintenance</t>
  </si>
  <si>
    <t>Working capital projections</t>
  </si>
  <si>
    <t>Sales turnover</t>
  </si>
  <si>
    <t>Suppliers turnover</t>
  </si>
  <si>
    <t>Account receivable</t>
  </si>
  <si>
    <t>Account payable</t>
  </si>
  <si>
    <t>Inventory</t>
  </si>
  <si>
    <t>Working capital, net</t>
  </si>
  <si>
    <t>Interest expense in loans</t>
  </si>
  <si>
    <t>Opening balance</t>
  </si>
  <si>
    <t>Interest expenses</t>
  </si>
  <si>
    <t>Accumulated depreciation</t>
  </si>
  <si>
    <t>Equity ratio</t>
  </si>
  <si>
    <t>Debt ratio</t>
  </si>
  <si>
    <t>Fixed assets in total assets</t>
  </si>
  <si>
    <t>WEIGHTED AVERAGE COST OF CAPITAL (WACC)</t>
  </si>
  <si>
    <t>WACC CALCULATION</t>
  </si>
  <si>
    <t>WACC calculation</t>
  </si>
  <si>
    <t>Risk-free rate</t>
  </si>
  <si>
    <t>Equity risk premium</t>
  </si>
  <si>
    <t>Unlevered industry Beta</t>
  </si>
  <si>
    <t>Relevered industry beta</t>
  </si>
  <si>
    <t>Sub-total</t>
  </si>
  <si>
    <t>Size premium</t>
  </si>
  <si>
    <t>Country risk premium</t>
  </si>
  <si>
    <t>Specific risk premium</t>
  </si>
  <si>
    <t>Cost of equity</t>
  </si>
  <si>
    <t>Corporate tax rate</t>
  </si>
  <si>
    <t>Cost of Debt after tax</t>
  </si>
  <si>
    <t>WACC</t>
  </si>
  <si>
    <t>Inflation - Local</t>
  </si>
  <si>
    <t>Local inflation rate estimate</t>
  </si>
  <si>
    <t>WACC (adjusted)</t>
  </si>
  <si>
    <t>Free Cash Flow</t>
  </si>
  <si>
    <t>Net Working capital adjustments</t>
  </si>
  <si>
    <t>CAPEX adjustments</t>
  </si>
  <si>
    <t>Assumptions</t>
  </si>
  <si>
    <t>Discount rate - WACC</t>
  </si>
  <si>
    <t>Discounted Cash Flows</t>
  </si>
  <si>
    <t>Discount factor</t>
  </si>
  <si>
    <t>DCF</t>
  </si>
  <si>
    <t>Terminal Value</t>
  </si>
  <si>
    <t>Discounted Terminal Value</t>
  </si>
  <si>
    <t>Valuation</t>
  </si>
  <si>
    <t>Enterprise value</t>
  </si>
  <si>
    <t>DCF value of operations</t>
  </si>
  <si>
    <t>Excess cash and marketable securities</t>
  </si>
  <si>
    <t>Excess real estate</t>
  </si>
  <si>
    <t>Investments in nonconsolidated companies</t>
  </si>
  <si>
    <t>Tax loss carryforwards</t>
  </si>
  <si>
    <t>Discontinued operations</t>
  </si>
  <si>
    <t>Long-term operating provisions</t>
  </si>
  <si>
    <t>Nonoperating provisions</t>
  </si>
  <si>
    <t>Contingent liabilities</t>
  </si>
  <si>
    <t>Convertible debt</t>
  </si>
  <si>
    <t>Employee stock options</t>
  </si>
  <si>
    <t>Noncontrolling interests</t>
  </si>
  <si>
    <t>Equity value</t>
  </si>
  <si>
    <t>Interest bearing debt</t>
  </si>
  <si>
    <t>Non-operating assets adjustments</t>
  </si>
  <si>
    <t>Debt equivalents</t>
  </si>
  <si>
    <t xml:space="preserve">Hybrid claims and non controlling interests
</t>
  </si>
  <si>
    <t>BREAKEVEN ANALYSIS</t>
  </si>
  <si>
    <t>Costs</t>
  </si>
  <si>
    <t>Variable costs</t>
  </si>
  <si>
    <t>Fixed costs</t>
  </si>
  <si>
    <t>Breakeven analysis</t>
  </si>
  <si>
    <t>Contribution profit</t>
  </si>
  <si>
    <t>Contribution margin</t>
  </si>
  <si>
    <t>Equipment rental</t>
  </si>
  <si>
    <t>Overhead in revenue</t>
  </si>
  <si>
    <t xml:space="preserve">EBITDA to interest coverage </t>
  </si>
  <si>
    <t>Fixed asset turnover</t>
  </si>
  <si>
    <t>Vertical analysis</t>
  </si>
  <si>
    <t>Adjustments</t>
  </si>
  <si>
    <t>Non operating items</t>
  </si>
  <si>
    <t>One-time items</t>
  </si>
  <si>
    <t>Asset impairments (reversal)</t>
  </si>
  <si>
    <t>Write-offs</t>
  </si>
  <si>
    <t>Excess owner compensation</t>
  </si>
  <si>
    <t>Share based compensation</t>
  </si>
  <si>
    <t>EBITDA adjusted</t>
  </si>
  <si>
    <t>Cash on hand</t>
  </si>
  <si>
    <t>Net financial position</t>
  </si>
  <si>
    <t>Valuation adjusted</t>
  </si>
  <si>
    <t>ASSUMPTIONS</t>
  </si>
  <si>
    <t>Revenue per employee</t>
  </si>
  <si>
    <t>Working capital ratio</t>
  </si>
  <si>
    <t>Total cost per employee</t>
  </si>
  <si>
    <t>Overhead cost per employee</t>
  </si>
  <si>
    <t>Profit per employee</t>
  </si>
  <si>
    <t>EBITDA per employee</t>
  </si>
  <si>
    <t>Gross margin estimate</t>
  </si>
  <si>
    <t>Variable COGS share in total COGS</t>
  </si>
  <si>
    <t>Share in total</t>
  </si>
  <si>
    <t>Estimate sales loss from existing customers (revenue churn)</t>
  </si>
  <si>
    <t>Estimate revenue growth rate</t>
  </si>
  <si>
    <t>Consistency checks</t>
  </si>
  <si>
    <t>REVENUE FORECAST</t>
  </si>
  <si>
    <t>Total overhead variable</t>
  </si>
  <si>
    <t>Average Headcount current period</t>
  </si>
  <si>
    <t>Headcount</t>
  </si>
  <si>
    <t>CEO</t>
  </si>
  <si>
    <t>CFO</t>
  </si>
  <si>
    <t>HR Manager</t>
  </si>
  <si>
    <t>Sales</t>
  </si>
  <si>
    <t>Production workers</t>
  </si>
  <si>
    <t>Finance</t>
  </si>
  <si>
    <t>Legal</t>
  </si>
  <si>
    <t>Average Headcount last period</t>
  </si>
  <si>
    <t>Developers</t>
  </si>
  <si>
    <t>Service</t>
  </si>
  <si>
    <t>Retail</t>
  </si>
  <si>
    <t>Engineers</t>
  </si>
  <si>
    <t>Salaries and wages</t>
  </si>
  <si>
    <t>Recruitment</t>
  </si>
  <si>
    <t>Severance pay</t>
  </si>
  <si>
    <t>Education</t>
  </si>
  <si>
    <t>Travel</t>
  </si>
  <si>
    <t>Postal and delivery</t>
  </si>
  <si>
    <t>Other overhead variable</t>
  </si>
  <si>
    <t>Total overhead fixed</t>
  </si>
  <si>
    <t>Net income from current year P&amp;L = Equity increase in BS</t>
  </si>
  <si>
    <t>Cash at the end of period in Cash flow statement = Cash and equivalents in BS</t>
  </si>
  <si>
    <t>CAGR</t>
  </si>
  <si>
    <t>Revenue assumed growth rate vs revenue CAGR in projections</t>
  </si>
  <si>
    <t>vs</t>
  </si>
  <si>
    <t>VALIDATIONS AND CONSISTENCY CHECKS</t>
  </si>
  <si>
    <t>Revenue growth rate vs Labor cost growth rate</t>
  </si>
  <si>
    <t>Revenue projected growth rate vs headcount projected growth rate</t>
  </si>
  <si>
    <t>Revenue projected growth rate vs variable overhead costs projection rate</t>
  </si>
  <si>
    <t>Revenue projected growth rate vs fixed overhead costs projection rate</t>
  </si>
  <si>
    <t>Total Assets = Total Equity and liabilities in current year</t>
  </si>
  <si>
    <t>Total Assets = Total Equity and liabilities in last year</t>
  </si>
  <si>
    <t>Gross margin rate that will be applied in projections</t>
  </si>
  <si>
    <t>Estimate revenue growth rate that will be applied in projections</t>
  </si>
  <si>
    <t>COGS AND GROSS PROFIT FORECAST</t>
  </si>
  <si>
    <t>Revenue projected growth rate vs gross profit projection rate</t>
  </si>
  <si>
    <t>Current assets in total assets</t>
  </si>
  <si>
    <t>Total cash in total assets</t>
  </si>
  <si>
    <t>Validations</t>
  </si>
  <si>
    <t>The formulas are opened due to flexibility of model, we suggest to protect your formulas when start working</t>
  </si>
  <si>
    <t>NET WORKING CAPITAL PROJECTIONS</t>
  </si>
  <si>
    <t>NET WORKING CAPITAL</t>
  </si>
  <si>
    <t>CASH FLOW PROJECTIONS</t>
  </si>
  <si>
    <t>VERTICAL ANALYSIS</t>
  </si>
  <si>
    <t>PROJECTED RATIO NUMBERS</t>
  </si>
  <si>
    <t>Intangible investment 1</t>
  </si>
  <si>
    <t>Intangible investment 2</t>
  </si>
  <si>
    <t>Intangible investment 3</t>
  </si>
  <si>
    <t>Tangible investment 1</t>
  </si>
  <si>
    <t>Tangible investment 2</t>
  </si>
  <si>
    <t>Tangible investment 3</t>
  </si>
  <si>
    <t>Long term debt</t>
  </si>
  <si>
    <t>Repayment</t>
  </si>
  <si>
    <t>New withdrawals</t>
  </si>
  <si>
    <t>Total fixed costs in revenue: historical vs projected</t>
  </si>
  <si>
    <t>Follow validation and consistency check sheet and investigate any significant differences that may appear</t>
  </si>
  <si>
    <t>Starting headcount number in projection table = historical headcount number</t>
  </si>
  <si>
    <t>Revenue</t>
  </si>
  <si>
    <t>Starting revenues matches with historical revenue</t>
  </si>
  <si>
    <t>Historical figures vs input figures check</t>
  </si>
  <si>
    <t>Miscellaneous</t>
  </si>
  <si>
    <t>Inventory turnover</t>
  </si>
  <si>
    <t>Aggregate purchase (nominal) value</t>
  </si>
  <si>
    <t>(Purchase) or sales of capital assets</t>
  </si>
  <si>
    <t>Starting figures of variable overhead costs in projection table =  historical variable overhead costs</t>
  </si>
  <si>
    <t>Starting figures of fixed overhead costs in projection table =  historical fixed overhead costs</t>
  </si>
  <si>
    <t>Valuation date</t>
  </si>
  <si>
    <t>EBITDA Multiple assumptions</t>
  </si>
  <si>
    <t>Low</t>
  </si>
  <si>
    <t>Medium</t>
  </si>
  <si>
    <t>High</t>
  </si>
  <si>
    <t>Long term cash flow growth rate</t>
  </si>
  <si>
    <t>Interest expenses share in debt: historical vs projected average</t>
  </si>
  <si>
    <t>Inventories in current assets</t>
  </si>
  <si>
    <t>Other personal expenses</t>
  </si>
  <si>
    <t xml:space="preserve">Other liabilities </t>
  </si>
  <si>
    <t>Days other liabilities outstanding</t>
  </si>
  <si>
    <t>Other liabilities turnover</t>
  </si>
  <si>
    <t>Long term CF growth rate</t>
  </si>
  <si>
    <t>EBITDA Multiple Valuation</t>
  </si>
  <si>
    <t>Valuation by EBITDA multiple</t>
  </si>
  <si>
    <t>EBITDA non-adjusted</t>
  </si>
  <si>
    <t>Multiple</t>
  </si>
  <si>
    <t xml:space="preserve">COMPARABLE COMPANY VALUATION </t>
  </si>
  <si>
    <t xml:space="preserve">Market Data </t>
  </si>
  <si>
    <t>Financials</t>
  </si>
  <si>
    <t xml:space="preserve">Valuation </t>
  </si>
  <si>
    <t xml:space="preserve">Company </t>
  </si>
  <si>
    <t>Share Price</t>
  </si>
  <si>
    <t xml:space="preserve">Equity Value </t>
  </si>
  <si>
    <t>Net Debt</t>
  </si>
  <si>
    <t xml:space="preserve">Enterprise Value </t>
  </si>
  <si>
    <t>EBITDA</t>
  </si>
  <si>
    <t>Net Income</t>
  </si>
  <si>
    <t>EV/ Revenue</t>
  </si>
  <si>
    <t>EV/EBITDA</t>
  </si>
  <si>
    <t>P/E</t>
  </si>
  <si>
    <t>Company A</t>
  </si>
  <si>
    <t>Company B</t>
  </si>
  <si>
    <t>Company C</t>
  </si>
  <si>
    <t>Company D</t>
  </si>
  <si>
    <t>Company E</t>
  </si>
  <si>
    <t>Company F</t>
  </si>
  <si>
    <t>Company G</t>
  </si>
  <si>
    <t>Company H</t>
  </si>
  <si>
    <t>Company I</t>
  </si>
  <si>
    <t>Upper Quartile</t>
  </si>
  <si>
    <t>Average</t>
  </si>
  <si>
    <t>Median</t>
  </si>
  <si>
    <t>Lower Quartile</t>
  </si>
  <si>
    <t xml:space="preserve">Low </t>
  </si>
  <si>
    <t xml:space="preserve">X COMPANY LTD Comparable Valuation </t>
  </si>
  <si>
    <t>Revenue, EBITDA, P/E</t>
  </si>
  <si>
    <t xml:space="preserve">Implied Enterprise Value </t>
  </si>
  <si>
    <t>VALUATION BY MULTIPLE</t>
  </si>
  <si>
    <t xml:space="preserve">Equity valuation pre different multiple </t>
  </si>
  <si>
    <t>Long term financial debt</t>
  </si>
  <si>
    <t>Other long term liabilities</t>
  </si>
  <si>
    <t>Other investments and assets</t>
  </si>
  <si>
    <t>Other current assets</t>
  </si>
  <si>
    <t>Carrying value</t>
  </si>
  <si>
    <t>Days other current assets outstanding</t>
  </si>
  <si>
    <t>Expected inflation rate in projection period</t>
  </si>
  <si>
    <t>Risk - free rate must be in same currency as projections</t>
  </si>
  <si>
    <t>You may use your own estimated finance leverage or industry level</t>
  </si>
  <si>
    <t>Premium for smaller companies</t>
  </si>
  <si>
    <t>Premium for country of your operations</t>
  </si>
  <si>
    <t>Cost of debt pre tax</t>
  </si>
  <si>
    <t>Marginal interest rate for your company</t>
  </si>
  <si>
    <t>Discount rate for your company</t>
  </si>
  <si>
    <t>Description</t>
  </si>
  <si>
    <t>Amount</t>
  </si>
  <si>
    <t>Other</t>
  </si>
  <si>
    <t>Dividends paid</t>
  </si>
  <si>
    <t>Increase of subscribed equity</t>
  </si>
  <si>
    <t>Increase of  share capital</t>
  </si>
  <si>
    <t>Change</t>
  </si>
  <si>
    <t>Cash received from sale of non-current assets</t>
  </si>
  <si>
    <t>Non-current assets</t>
  </si>
  <si>
    <t>Gains from sale of non-current assets</t>
  </si>
  <si>
    <t>Losses from sale of non-current assets</t>
  </si>
  <si>
    <t>Impairment of receivables</t>
  </si>
  <si>
    <t>Impairment of inventories</t>
  </si>
  <si>
    <t>Losses (gains) from sale of non-current assets, net</t>
  </si>
  <si>
    <t>Increase (decrease) in financial liabilities</t>
  </si>
  <si>
    <t>Increase (decrease) in trade payables</t>
  </si>
  <si>
    <t>Increase (decrease)  in other liabilities</t>
  </si>
  <si>
    <t>(Incerease) or decrease in inventories</t>
  </si>
  <si>
    <t>(Incerease) or decrease in account receivables</t>
  </si>
  <si>
    <t>(Incerease) or decrease of other current assets</t>
  </si>
  <si>
    <t>Purchase of non-current assets</t>
  </si>
  <si>
    <t>Assumption</t>
  </si>
  <si>
    <t>Value</t>
  </si>
  <si>
    <t>Other costs and income</t>
  </si>
  <si>
    <t>% of sales</t>
  </si>
  <si>
    <t>% of COGS</t>
  </si>
  <si>
    <t>Developed in separate sheet</t>
  </si>
  <si>
    <t>% of revenues</t>
  </si>
  <si>
    <t>Net losses</t>
  </si>
  <si>
    <t>Cash conversion cycle</t>
  </si>
  <si>
    <t>Historical costs x growth rate</t>
  </si>
  <si>
    <t>Gross profit matches with historical gross profit</t>
  </si>
  <si>
    <t>Interest expenses share is  Loan balance</t>
  </si>
  <si>
    <t>Financial structure</t>
  </si>
  <si>
    <t>EBTIDA Margin</t>
  </si>
  <si>
    <t>EBITDA to Interest coverage</t>
  </si>
  <si>
    <t>INSTRUCTIONS</t>
  </si>
  <si>
    <t>Accuracy check, should be 0 always</t>
  </si>
  <si>
    <t>SUM formula applied</t>
  </si>
  <si>
    <t>Cell under formula</t>
  </si>
  <si>
    <t>Input cell</t>
  </si>
  <si>
    <t>If you want to add rows or columns make sure you update and check SUM formula in bottom line</t>
  </si>
  <si>
    <t>EBITDA RATIOS</t>
  </si>
  <si>
    <t>EBIT</t>
  </si>
  <si>
    <t>Non-cash items added back</t>
  </si>
  <si>
    <t>SENSITIVITY ANALYSIS</t>
  </si>
  <si>
    <t xml:space="preserve">Check </t>
  </si>
  <si>
    <t>Other finance transactions</t>
  </si>
  <si>
    <t>CASH CONVERSION CYCLE SCENARIO ANALYSIS</t>
  </si>
  <si>
    <t>Cash conversion cycle analysis</t>
  </si>
  <si>
    <t>Impact on cash</t>
  </si>
  <si>
    <t>Scenario analysis</t>
  </si>
  <si>
    <t>Actual</t>
  </si>
  <si>
    <t xml:space="preserve">Potential Referrecne </t>
  </si>
  <si>
    <t>Revenues from sales</t>
  </si>
  <si>
    <t>Other current assets % in revenues</t>
  </si>
  <si>
    <t>Other current liabilities % in revenues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</si>
  <si>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</si>
  <si>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</si>
  <si>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</si>
  <si>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</si>
  <si>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</si>
  <si>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</si>
  <si>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</si>
  <si>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</si>
  <si>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[Placeholder]</t>
  </si>
  <si>
    <t>Position</t>
  </si>
  <si>
    <t>Bonus %</t>
  </si>
  <si>
    <t>Bonus amount</t>
  </si>
  <si>
    <t>Annual costs</t>
  </si>
  <si>
    <t>Time engaged in %</t>
  </si>
  <si>
    <t>Total costs in general leger accounts</t>
  </si>
  <si>
    <t>Employee 9</t>
  </si>
  <si>
    <t>Employee 10</t>
  </si>
  <si>
    <t>Employee 11</t>
  </si>
  <si>
    <t xml:space="preserve">Raise </t>
  </si>
  <si>
    <t>New Employee 1</t>
  </si>
  <si>
    <t>New Employee 2</t>
  </si>
  <si>
    <t>New Employee 3</t>
  </si>
  <si>
    <t>Transfer to short term</t>
  </si>
  <si>
    <t>Transfer from long term</t>
  </si>
  <si>
    <t>Other financial expenses</t>
  </si>
  <si>
    <t>Financial expenses and income, net</t>
  </si>
  <si>
    <t>Financial expenses and income</t>
  </si>
  <si>
    <t>Increase / decrease of other investments</t>
  </si>
  <si>
    <t>Changes in Other investments</t>
  </si>
  <si>
    <t xml:space="preserve">Increase </t>
  </si>
  <si>
    <t>Decrease</t>
  </si>
  <si>
    <t>Increase (decrease) in financial and other long term liabilities</t>
  </si>
  <si>
    <t>Current financial liabilities</t>
  </si>
  <si>
    <t>Long term financial liabilities</t>
  </si>
  <si>
    <t>Current debt</t>
  </si>
  <si>
    <t>Existing debt schedule</t>
  </si>
  <si>
    <t>New debt schedule</t>
  </si>
  <si>
    <t>Closing balance</t>
  </si>
  <si>
    <t>PROFIT AND LOSS PROJECTION</t>
  </si>
  <si>
    <t>Earning before taxation</t>
  </si>
  <si>
    <t>Effective tax rate</t>
  </si>
  <si>
    <t>Adjusted tax base</t>
  </si>
  <si>
    <t>Expense deduction</t>
  </si>
  <si>
    <t>Tax base decrease</t>
  </si>
  <si>
    <t>Tax base increase</t>
  </si>
  <si>
    <t>Temoporary differences</t>
  </si>
  <si>
    <t>Other items that increse tax base</t>
  </si>
  <si>
    <t>Incetntives</t>
  </si>
  <si>
    <t>Revenue adjustemnts</t>
  </si>
  <si>
    <t>Other items that decrese tax base</t>
  </si>
  <si>
    <t>TABLE OF CONTENT</t>
  </si>
  <si>
    <t xml:space="preserve">Sheet </t>
  </si>
  <si>
    <t>Meaning</t>
  </si>
  <si>
    <t>Instructions</t>
  </si>
  <si>
    <t>HF</t>
  </si>
  <si>
    <t>BVA</t>
  </si>
  <si>
    <t>RA</t>
  </si>
  <si>
    <t>SH</t>
  </si>
  <si>
    <t>SALARIES AND HEADCOUNT</t>
  </si>
  <si>
    <t>OH</t>
  </si>
  <si>
    <t>OTH</t>
  </si>
  <si>
    <t>Projection of other, non-cash expenses</t>
  </si>
  <si>
    <t>Overhead expenses</t>
  </si>
  <si>
    <t>Projection of variable and fixed expenses</t>
  </si>
  <si>
    <t>Basic salaries and headcount projections4</t>
  </si>
  <si>
    <t>TA</t>
  </si>
  <si>
    <t>IA</t>
  </si>
  <si>
    <t>FIN</t>
  </si>
  <si>
    <t>IT</t>
  </si>
  <si>
    <t>BS</t>
  </si>
  <si>
    <t>CF</t>
  </si>
  <si>
    <t>NWC</t>
  </si>
  <si>
    <t>MC</t>
  </si>
  <si>
    <t>Model checks</t>
  </si>
  <si>
    <t>Assumptions used in model</t>
  </si>
  <si>
    <t>Validation and errors checks, consistency checks</t>
  </si>
  <si>
    <t>INS</t>
  </si>
  <si>
    <t>ASSUM</t>
  </si>
  <si>
    <t>BEA</t>
  </si>
  <si>
    <t>Break-even analysis</t>
  </si>
  <si>
    <t>EBITDA KPIs</t>
  </si>
  <si>
    <t>VbM</t>
  </si>
  <si>
    <t>CC</t>
  </si>
  <si>
    <t>Comparable companies method</t>
  </si>
  <si>
    <t>Valuation by multiple</t>
  </si>
  <si>
    <t xml:space="preserve">Discounted cash flow </t>
  </si>
  <si>
    <t>Weighted average cost of capital</t>
  </si>
  <si>
    <t>Break-even analysis of projected financial statements</t>
  </si>
  <si>
    <t>EBITDA KPIs of projected financial statements</t>
  </si>
  <si>
    <t>Cash flow statement projection</t>
  </si>
  <si>
    <t>Balance sheet projection</t>
  </si>
  <si>
    <t>PL</t>
  </si>
  <si>
    <t>Profit and loss account projection</t>
  </si>
  <si>
    <t>Income tax</t>
  </si>
  <si>
    <t>Schedule of income taxes for projecting profit and loss account</t>
  </si>
  <si>
    <t>Schedules of debt, interest expenses, dividends and capital increase</t>
  </si>
  <si>
    <t>Schedule of net working capital</t>
  </si>
  <si>
    <t>Salaries and headcount</t>
  </si>
  <si>
    <t>RAP</t>
  </si>
  <si>
    <t xml:space="preserve">Ratio analysis </t>
  </si>
  <si>
    <t>Schedule of revenues form sales, cost of goods sold and gross profit</t>
  </si>
  <si>
    <t>Revenue and COGS</t>
  </si>
  <si>
    <t>Budget variance analysis</t>
  </si>
  <si>
    <t>Analysis of variance between actual and budgeted figures</t>
  </si>
  <si>
    <t>REV COGS</t>
  </si>
  <si>
    <t>Explanation</t>
  </si>
  <si>
    <t>Historical financials statements</t>
  </si>
  <si>
    <t>Ratio analysis of historical financials</t>
  </si>
  <si>
    <t>Other expenses</t>
  </si>
  <si>
    <t>Schedule of tangible assets with purchase value, depreciation, accumulated depreciation and carrying value</t>
  </si>
  <si>
    <t>Schedule of intangible assets with purchase value, amortization, accumulated amortization and carrying value</t>
  </si>
  <si>
    <t>Financial schedules</t>
  </si>
  <si>
    <t>Ratio analysis of projected financials</t>
  </si>
  <si>
    <t>Calculation WACC as discounted rate for application of DCF valuation method</t>
  </si>
  <si>
    <t>Business valuation calculation based on discounted cash flow method</t>
  </si>
  <si>
    <t>Business valuation calculation based on multiple of comparable transactions</t>
  </si>
  <si>
    <t>Business valuation calculation based on comparable companies method</t>
  </si>
  <si>
    <t>FINANCIAL LIABILITIES, INTEREST, DIVIDEND AND CAPITAL</t>
  </si>
  <si>
    <t>OTHER EXPENSES</t>
  </si>
  <si>
    <t>OVERHEAD EXPENSES</t>
  </si>
  <si>
    <t>Minimum cash level at the end of period</t>
  </si>
  <si>
    <t>Salaries in profit and loss account = salaries in schedules</t>
  </si>
  <si>
    <t>Projected balance sheet is in balance</t>
  </si>
  <si>
    <t>Cash position in Projected cash flow statements = Cash position in projected balance sheet</t>
  </si>
  <si>
    <t>Income tax in historical profit and loss matches with income tax in schedule</t>
  </si>
  <si>
    <t>Gross profit in historical profit and loss matches with gross profit in schedules</t>
  </si>
  <si>
    <t>Revenues in historical profit and loss matches with revenues in schedules</t>
  </si>
  <si>
    <t>Minimum cash level</t>
  </si>
  <si>
    <t>Account Receivables</t>
  </si>
  <si>
    <t>Account payables</t>
  </si>
  <si>
    <t>Intangible assets investment plan</t>
  </si>
  <si>
    <t>TANGIBLE ASSETS SCHEDULE + OTHER NON CURRENT ASSETS</t>
  </si>
  <si>
    <t>Depreciation per year</t>
  </si>
  <si>
    <t>from TA and IA sheets</t>
  </si>
  <si>
    <t>INCOME TAX SCHEDULE</t>
  </si>
  <si>
    <t>Financial liabilities in historical balance sheets tie with financial liabilities schedule</t>
  </si>
  <si>
    <t>REVENUE AND COGS PLANNING</t>
  </si>
  <si>
    <t>Depreciation and amortization costs to non-current assets: historical vs projected period</t>
  </si>
  <si>
    <t>Net working capital to Revenues historical vs projected period</t>
  </si>
  <si>
    <t>Non-current assets to Revenues historical vs projected period</t>
  </si>
  <si>
    <t>Check (cash above minimum)</t>
  </si>
  <si>
    <t>Headcount total</t>
  </si>
  <si>
    <t>Salaries to Revenue</t>
  </si>
  <si>
    <t>Total COGS to Revenue</t>
  </si>
  <si>
    <t>COGS variable to revenue</t>
  </si>
  <si>
    <t>Interest expense to loans balance</t>
  </si>
  <si>
    <t>Fixed assets to total assets</t>
  </si>
  <si>
    <t>$ thousands</t>
  </si>
  <si>
    <t>For some categories I provide basic and alternative schedules. Alternative schedules are just given as example, while basic schedules are linked in further 3 statements model and other calculations</t>
  </si>
  <si>
    <t xml:space="preserve">Short instructions how to use model </t>
  </si>
  <si>
    <t>inflation +3%</t>
  </si>
  <si>
    <t>New Sales Win Frequency</t>
  </si>
  <si>
    <t>New Clients Added</t>
  </si>
  <si>
    <t>Annual Churn %</t>
  </si>
  <si>
    <t>Monthly</t>
  </si>
  <si>
    <t>Tier 3  (INSERT)</t>
  </si>
  <si>
    <t>Month</t>
  </si>
  <si>
    <t>Year</t>
  </si>
  <si>
    <t xml:space="preserve">Financial year start month </t>
  </si>
  <si>
    <t xml:space="preserve">Financial year </t>
  </si>
  <si>
    <t>Beginning of period</t>
  </si>
  <si>
    <t>Added in period</t>
  </si>
  <si>
    <t>Churn</t>
  </si>
  <si>
    <t>End of period</t>
  </si>
  <si>
    <t xml:space="preserve"> Beginning of period </t>
  </si>
  <si>
    <t xml:space="preserve"> Added in period </t>
  </si>
  <si>
    <t xml:space="preserve"> Churn </t>
  </si>
  <si>
    <t xml:space="preserve"> End of period </t>
  </si>
  <si>
    <t>[INSERT]</t>
  </si>
  <si>
    <t>Number of days</t>
  </si>
  <si>
    <t>BALANCE SHEET PROJECTIONS</t>
  </si>
  <si>
    <t>Last month in period expenses</t>
  </si>
  <si>
    <t>Cost projections</t>
  </si>
  <si>
    <t>Historicals</t>
  </si>
  <si>
    <t xml:space="preserve">Dep' rate per month/12 </t>
  </si>
  <si>
    <t>Transacation value</t>
  </si>
  <si>
    <t>Take rate</t>
  </si>
  <si>
    <t xml:space="preserve">Transactions value </t>
  </si>
  <si>
    <t>Cost</t>
  </si>
  <si>
    <t>Merchant onboarding</t>
  </si>
  <si>
    <t>Set up costs</t>
  </si>
  <si>
    <t>%</t>
  </si>
  <si>
    <t>Scheme Fees (VISA/MC)</t>
  </si>
  <si>
    <t>Blended fees</t>
  </si>
  <si>
    <t>Total transaction COGS % of TPV</t>
  </si>
  <si>
    <t>Interchange Fees</t>
  </si>
  <si>
    <r>
      <rPr>
        <b/>
        <i/>
        <sz val="10"/>
        <color theme="1"/>
        <rFont val="Avenir Book"/>
        <family val="2"/>
      </rPr>
      <t>Variable COGS</t>
    </r>
    <r>
      <rPr>
        <i/>
        <sz val="10"/>
        <color theme="1"/>
        <rFont val="Avenir Book"/>
        <family val="2"/>
      </rPr>
      <t>: These scale linearly with the Total Processed Volume (TPV).</t>
    </r>
  </si>
  <si>
    <t>Gateway/Acquiring  (Backend)</t>
  </si>
  <si>
    <t>Logistics/Fulfiment of Hardware</t>
  </si>
  <si>
    <t>Per new merchant</t>
  </si>
  <si>
    <t>Logistics</t>
  </si>
  <si>
    <t>Hosting - % of TPV</t>
  </si>
  <si>
    <t>Ammortization per year</t>
  </si>
  <si>
    <t>Accumulated ammortization</t>
  </si>
  <si>
    <t>Forecast</t>
  </si>
  <si>
    <t xml:space="preserve">HISTORICAL &amp; PROJECTIONS  </t>
  </si>
  <si>
    <t>TPV</t>
  </si>
  <si>
    <t>Total Variable COGS</t>
  </si>
  <si>
    <t>Total Fixed COGS</t>
  </si>
  <si>
    <t>Estimate monthly growth rate</t>
  </si>
  <si>
    <t>Total new clients</t>
  </si>
  <si>
    <t>Net revenue</t>
  </si>
  <si>
    <t>Transaction value</t>
  </si>
  <si>
    <t>Gross Profit</t>
  </si>
  <si>
    <t xml:space="preserve">Profit and Loss </t>
  </si>
  <si>
    <t>Gearing (Net debt -to-equity ratio)</t>
  </si>
  <si>
    <t>Terminal EBIDTA</t>
  </si>
  <si>
    <t>Terminal EBITDA multiple</t>
  </si>
  <si>
    <t>Discounted terminal value</t>
  </si>
  <si>
    <t>Cumulated DCF (PV of FCF)</t>
  </si>
  <si>
    <t>Enterprise Value</t>
  </si>
  <si>
    <t>Valuation - Perpetuity Growth</t>
  </si>
  <si>
    <t>Valuation- Exit multiple method</t>
  </si>
  <si>
    <t>A general category for income or expenses not related to the core business operations (e.g., income from a side investment).</t>
  </si>
  <si>
    <t>Non-recurring revenues or expenses, such as legal settlements or restructuring costs, that are not expected to happen again.</t>
  </si>
  <si>
    <t>Non-cash accounting charges reducing the book value of assets (or reversing previous reductions)</t>
  </si>
  <si>
    <t>The reduction in the value of an asset, typically a non-cash expense.</t>
  </si>
  <si>
    <t>An adjustment often made for private companies to normalize salaries if the owner pays themselves significantly above or below market rates.</t>
  </si>
  <si>
    <t>A non-cash expense related to paying employees with equity, often added back to reflect cash earnings potential.</t>
  </si>
  <si>
    <t>Adjustments made to correct pricing between related entities if they were not conducted at "arm's length" (market rates).</t>
  </si>
  <si>
    <t>Inter-company fair prices adjustment</t>
  </si>
  <si>
    <t>CTO</t>
  </si>
  <si>
    <t>Equity include = last year equity balance + net income of income statement - dividend + increase in equity (funding from shareholders)</t>
  </si>
  <si>
    <t>Breakeven Point -  Revenue</t>
  </si>
  <si>
    <t>Company A1</t>
  </si>
  <si>
    <t>Estimated return on market portfolio, link</t>
  </si>
  <si>
    <t>Terminal Value ((FCF*(1+g)/ (WACC-g))</t>
  </si>
  <si>
    <t xml:space="preserve"> </t>
  </si>
  <si>
    <t>Core Revenue</t>
  </si>
  <si>
    <t>Other Revenue - Value Added Services</t>
  </si>
  <si>
    <t>Total Revenue</t>
  </si>
  <si>
    <t>Headcount Direct</t>
  </si>
  <si>
    <t>Headcount Fixed</t>
  </si>
  <si>
    <t>Headcount Direct Work (Variable)</t>
  </si>
  <si>
    <t>Headcount G&amp;A (Fixed)</t>
  </si>
  <si>
    <t xml:space="preserve">Est Annual Growth </t>
  </si>
  <si>
    <t>Sales on non-current assets</t>
  </si>
  <si>
    <t>VA</t>
  </si>
  <si>
    <t>Vertical analysis of projected financial statements</t>
  </si>
  <si>
    <t>Tier 1 (INSERT)</t>
  </si>
  <si>
    <t>Tier 2  (INSERT)</t>
  </si>
  <si>
    <t>Disclaimer: Adopted from Corporate Finance Hub</t>
  </si>
  <si>
    <t>The numbers in the model are placeholders. Replace with 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</si>
</sst>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R&quot;* #,##0.00_);_(&quot;R&quot;* \(#,##0.00\);_(&quot;R&quot;* &quot;-&quot;??_);_(@_)"/>
    <numFmt numFmtId="43" formatCode="_(* #,##0.00_);_(* \(#,##0.00\);_(* &quot;-&quot;??_);_(@_)"/>
    <numFmt numFmtId="164" formatCode="&quot;FY&quot;General&quot;F&quot;"/>
    <numFmt numFmtId="165" formatCode="_(* #,##0_);_(* \(#,##0\);_(* &quot;-&quot;??_);_(@_)"/>
    <numFmt numFmtId="166" formatCode="#,##0.0%;\(#,##0.0\)%;&quot;-&quot;"/>
    <numFmt numFmtId="167" formatCode="#,##0.00%;\(#,##0.00\)%;&quot;-&quot;"/>
    <numFmt numFmtId="168" formatCode="#,##0.00;\(#,##0.00\);\-"/>
    <numFmt numFmtId="169" formatCode="0.0%;\(0.0\)%;\-"/>
    <numFmt numFmtId="170" formatCode="#,##0.000"/>
    <numFmt numFmtId="171" formatCode="0_);\(0\)"/>
    <numFmt numFmtId="172" formatCode="0.0%"/>
    <numFmt numFmtId="173" formatCode="#,##0.0"/>
    <numFmt numFmtId="174" formatCode="_(* #,##0.0_);_(* \(#,##0.0\);_(* &quot;-&quot;??_);_(@_)"/>
    <numFmt numFmtId="175" formatCode="0.0"/>
    <numFmt numFmtId="176" formatCode="#,##0.0000"/>
    <numFmt numFmtId="177" formatCode="#,##0.000_);\(#,##0.000\)"/>
    <numFmt numFmtId="178" formatCode="[$-409]mmm\-yy;@"/>
    <numFmt numFmtId="179" formatCode="_(* #,##0.000_);_(* \(#,##0.000\);_(* &quot;-&quot;??_);_(@_)"/>
    <numFmt numFmtId="180" formatCode="&quot;R&quot;#,##0.00"/>
    <numFmt numFmtId="181" formatCode="_(#,##0_)_%;\(#,##0\)_%;_(&quot;–&quot;_)_%;_(@_)_%"/>
    <numFmt numFmtId="182" formatCode="0&quot;A&quot;"/>
    <numFmt numFmtId="183" formatCode="@\⁽\¹\⁾"/>
    <numFmt numFmtId="184" formatCode="0&quot;E&quot;"/>
    <numFmt numFmtId="185" formatCode="_(#,##0_);\(#,##0\);_(&quot;–&quot;_);_(@_)"/>
    <numFmt numFmtId="186" formatCode="[=1]&quot;☑️&quot;_);[=0]&quot;⬜&quot;_)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Helvetica"/>
      <family val="2"/>
    </font>
    <font>
      <sz val="10"/>
      <color theme="1"/>
      <name val="Yu Gothic UI Semibold"/>
      <family val="2"/>
    </font>
    <font>
      <sz val="11"/>
      <color theme="1"/>
      <name val="Yu Gothic UI Semibold"/>
      <family val="2"/>
    </font>
    <font>
      <sz val="10"/>
      <color rgb="FF0070C0"/>
      <name val="Yu Gothic UI Semibold"/>
      <family val="2"/>
    </font>
    <font>
      <sz val="10"/>
      <color theme="5" tint="0.39997558519241921"/>
      <name val="Yu Gothic UI Semibold"/>
      <family val="2"/>
    </font>
    <font>
      <sz val="10"/>
      <color rgb="FF0060A8"/>
      <name val="Yu Gothic UI"/>
      <family val="2"/>
    </font>
    <font>
      <sz val="10"/>
      <color rgb="FF0070C0"/>
      <name val="Yu Gothic UI"/>
      <family val="2"/>
    </font>
    <font>
      <sz val="11"/>
      <color theme="1"/>
      <name val="Yu Gothic UI"/>
      <family val="2"/>
    </font>
    <font>
      <sz val="10"/>
      <color theme="1"/>
      <name val="Yu Gothic UI"/>
      <family val="2"/>
    </font>
    <font>
      <b/>
      <sz val="10"/>
      <color rgb="FF0060A8"/>
      <name val="Yu Gothic UI"/>
      <family val="2"/>
    </font>
    <font>
      <sz val="9"/>
      <color theme="1"/>
      <name val="Yu Gothic UI"/>
      <family val="2"/>
    </font>
    <font>
      <b/>
      <sz val="11"/>
      <color theme="0"/>
      <name val="Yu Gothic UI"/>
      <family val="2"/>
    </font>
    <font>
      <b/>
      <sz val="10"/>
      <color theme="0"/>
      <name val="Yu Gothic UI"/>
      <family val="2"/>
    </font>
    <font>
      <i/>
      <sz val="8"/>
      <color rgb="FF0070C0"/>
      <name val="Yu Gothic UI"/>
      <family val="2"/>
    </font>
    <font>
      <b/>
      <sz val="10"/>
      <color theme="1"/>
      <name val="Yu Gothic UI"/>
      <family val="2"/>
    </font>
    <font>
      <sz val="10"/>
      <name val="Yu Gothic UI"/>
      <family val="2"/>
    </font>
    <font>
      <b/>
      <sz val="10"/>
      <name val="Yu Gothic UI"/>
      <family val="2"/>
    </font>
    <font>
      <sz val="9"/>
      <name val="Yu Gothic UI"/>
      <family val="2"/>
    </font>
    <font>
      <sz val="10"/>
      <color rgb="FFFF0000"/>
      <name val="Yu Gothic U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249977111117893"/>
      <name val="Avenir Book"/>
      <family val="2"/>
    </font>
    <font>
      <sz val="11"/>
      <color theme="4"/>
      <name val="Avenir Book"/>
      <family val="2"/>
    </font>
    <font>
      <b/>
      <sz val="10"/>
      <color theme="1" tint="0.249977111117893"/>
      <name val="Avenir Book"/>
      <family val="2"/>
    </font>
    <font>
      <sz val="10"/>
      <color theme="1" tint="0.249977111117893"/>
      <name val="Avenir Book"/>
      <family val="2"/>
    </font>
    <font>
      <sz val="10"/>
      <color theme="4"/>
      <name val="Avenir Book"/>
      <family val="2"/>
    </font>
    <font>
      <b/>
      <sz val="10"/>
      <color rgb="FF000000"/>
      <name val="Yu Gothic UI"/>
      <family val="2"/>
      <charset val="1"/>
    </font>
    <font>
      <b/>
      <sz val="11"/>
      <color theme="0"/>
      <name val="Avenir Book"/>
      <family val="2"/>
    </font>
    <font>
      <b/>
      <sz val="11"/>
      <color theme="1" tint="0.249977111117893"/>
      <name val="Avenir Book"/>
      <family val="2"/>
    </font>
    <font>
      <sz val="11"/>
      <color rgb="FF404040"/>
      <name val="Avenir Book"/>
      <family val="2"/>
    </font>
    <font>
      <sz val="10"/>
      <color rgb="FF0070C0"/>
      <name val="Avenir Book"/>
      <family val="2"/>
    </font>
    <font>
      <b/>
      <sz val="10"/>
      <color theme="1"/>
      <name val="Avenir Book"/>
      <family val="2"/>
    </font>
    <font>
      <sz val="10"/>
      <color theme="1"/>
      <name val="Avenir Book"/>
      <family val="2"/>
    </font>
    <font>
      <sz val="11"/>
      <color theme="1"/>
      <name val="Avenir Book"/>
      <family val="2"/>
    </font>
    <font>
      <sz val="10"/>
      <color rgb="FFFF0000"/>
      <name val="Avenir Book"/>
      <family val="2"/>
    </font>
    <font>
      <sz val="10"/>
      <name val="Avenir Book"/>
      <family val="2"/>
    </font>
    <font>
      <b/>
      <sz val="11"/>
      <color theme="1"/>
      <name val="Avenir Book"/>
      <family val="2"/>
    </font>
    <font>
      <b/>
      <sz val="9"/>
      <color theme="1"/>
      <name val="Avenir Book"/>
      <family val="2"/>
    </font>
    <font>
      <sz val="9"/>
      <color theme="1"/>
      <name val="Avenir Book"/>
      <family val="2"/>
    </font>
    <font>
      <sz val="10"/>
      <color rgb="FF0060A8"/>
      <name val="Avenir Book"/>
      <family val="2"/>
    </font>
    <font>
      <sz val="8"/>
      <color theme="1"/>
      <name val="Avenir Book"/>
      <family val="2"/>
    </font>
    <font>
      <b/>
      <sz val="10"/>
      <color rgb="FF0060A8"/>
      <name val="Avenir Book"/>
      <family val="2"/>
    </font>
    <font>
      <sz val="10"/>
      <color theme="2" tint="-0.499984740745262"/>
      <name val="Avenir Book"/>
      <family val="2"/>
    </font>
    <font>
      <sz val="10"/>
      <color theme="5" tint="0.39997558519241921"/>
      <name val="Avenir Book"/>
      <family val="2"/>
    </font>
    <font>
      <b/>
      <sz val="10"/>
      <color theme="0"/>
      <name val="Avenir Book"/>
      <family val="2"/>
    </font>
    <font>
      <b/>
      <sz val="10"/>
      <color rgb="FF0070C0"/>
      <name val="Avenir Book"/>
      <family val="2"/>
    </font>
    <font>
      <b/>
      <sz val="10"/>
      <name val="Avenir Book"/>
      <family val="2"/>
    </font>
    <font>
      <b/>
      <sz val="10"/>
      <color rgb="FF004F8A"/>
      <name val="Avenir Book"/>
      <family val="2"/>
    </font>
    <font>
      <sz val="8"/>
      <name val="Avenir Book"/>
      <family val="2"/>
    </font>
    <font>
      <sz val="10"/>
      <color rgb="FF004F8A"/>
      <name val="Avenir Book"/>
      <family val="2"/>
    </font>
    <font>
      <i/>
      <sz val="10"/>
      <name val="Avenir Book"/>
      <family val="2"/>
    </font>
    <font>
      <i/>
      <sz val="8"/>
      <name val="Avenir Book"/>
      <family val="2"/>
    </font>
    <font>
      <b/>
      <i/>
      <sz val="10"/>
      <color theme="1"/>
      <name val="Avenir Book"/>
      <family val="2"/>
    </font>
    <font>
      <b/>
      <sz val="8"/>
      <name val="Avenir Book"/>
      <family val="2"/>
    </font>
    <font>
      <b/>
      <i/>
      <sz val="8"/>
      <name val="Avenir Book"/>
      <family val="2"/>
    </font>
    <font>
      <i/>
      <sz val="10"/>
      <color theme="1"/>
      <name val="Avenir Book"/>
      <family val="2"/>
    </font>
    <font>
      <i/>
      <sz val="10"/>
      <color rgb="FF0070C0"/>
      <name val="Avenir Book"/>
      <family val="2"/>
    </font>
    <font>
      <b/>
      <sz val="8"/>
      <color theme="1"/>
      <name val="Avenir Book"/>
      <family val="2"/>
    </font>
    <font>
      <i/>
      <sz val="9"/>
      <color theme="1"/>
      <name val="Avenir Book"/>
      <family val="2"/>
    </font>
    <font>
      <i/>
      <sz val="9"/>
      <color rgb="FF000000"/>
      <name val="Avenir Book"/>
      <family val="2"/>
    </font>
    <font>
      <i/>
      <sz val="8"/>
      <color theme="1"/>
      <name val="Avenir Book"/>
      <family val="2"/>
    </font>
    <font>
      <i/>
      <sz val="8"/>
      <color rgb="FF0070C0"/>
      <name val="Avenir Book"/>
      <family val="2"/>
    </font>
    <font>
      <b/>
      <sz val="10"/>
      <color theme="0" tint="-0.249977111117893"/>
      <name val="Avenir Book"/>
      <family val="2"/>
    </font>
    <font>
      <sz val="10"/>
      <color theme="0" tint="-0.249977111117893"/>
      <name val="Avenir Book"/>
      <family val="2"/>
    </font>
    <font>
      <b/>
      <sz val="8"/>
      <color theme="0" tint="-0.249977111117893"/>
      <name val="Avenir Book"/>
      <family val="2"/>
    </font>
    <font>
      <i/>
      <u/>
      <sz val="10"/>
      <color rgb="FF0070C0"/>
      <name val="Avenir Book"/>
      <family val="2"/>
    </font>
    <font>
      <b/>
      <sz val="10"/>
      <color rgb="FFFF0000"/>
      <name val="Avenir Book"/>
      <family val="2"/>
    </font>
    <font>
      <sz val="11"/>
      <color rgb="FF0070C0"/>
      <name val="Avenir Book"/>
      <family val="2"/>
    </font>
    <font>
      <u/>
      <sz val="11"/>
      <color theme="5"/>
      <name val="Avenir Book"/>
      <family val="2"/>
    </font>
    <font>
      <sz val="14"/>
      <color theme="1"/>
      <name val="Open Sans"/>
      <family val="2"/>
    </font>
    <font>
      <b/>
      <sz val="10"/>
      <name val="Open Sans"/>
      <family val="2"/>
    </font>
    <font>
      <i/>
      <sz val="9"/>
      <name val="Open Sans"/>
      <family val="2"/>
    </font>
    <font>
      <b/>
      <sz val="14"/>
      <color rgb="FF0000FF"/>
      <name val="Open Sans"/>
      <family val="2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sz val="10"/>
      <color rgb="FF000000"/>
      <name val="Open Sans"/>
      <family val="2"/>
    </font>
    <font>
      <b/>
      <sz val="14"/>
      <color rgb="FF3271D2"/>
      <name val="Open Sans"/>
      <family val="2"/>
    </font>
    <font>
      <sz val="10"/>
      <color theme="1"/>
      <name val="Open Sans"/>
      <family val="2"/>
    </font>
    <font>
      <sz val="14"/>
      <color rgb="FF3271D2"/>
      <name val="Open Sans"/>
      <family val="2"/>
    </font>
    <font>
      <i/>
      <sz val="9"/>
      <color rgb="FF000000"/>
      <name val="Open Sans"/>
      <family val="2"/>
    </font>
    <font>
      <b/>
      <sz val="10"/>
      <color rgb="FF000000"/>
      <name val="Open Sans"/>
      <family val="2"/>
    </font>
    <font>
      <b/>
      <u val="singleAccounting"/>
      <sz val="11"/>
      <color rgb="FF3271D2"/>
      <name val="Open Sans"/>
      <family val="2"/>
    </font>
    <font>
      <sz val="11"/>
      <color rgb="FF000000"/>
      <name val="Calibri"/>
      <family val="2"/>
      <scheme val="minor"/>
    </font>
    <font>
      <sz val="10"/>
      <color rgb="FF3271D2"/>
      <name val="Open Sans"/>
      <family val="2"/>
    </font>
    <font>
      <sz val="10"/>
      <name val="Arial"/>
      <family val="2"/>
    </font>
    <font>
      <i/>
      <sz val="10"/>
      <color theme="5"/>
      <name val="Avenir Book"/>
      <family val="2"/>
    </font>
    <font>
      <b/>
      <sz val="10"/>
      <color theme="5"/>
      <name val="Avenir Book"/>
      <family val="2"/>
    </font>
    <font>
      <sz val="11"/>
      <name val="Avenir Book"/>
      <family val="2"/>
    </font>
    <font>
      <i/>
      <sz val="11"/>
      <color theme="1"/>
      <name val="Avenir Book"/>
      <family val="2"/>
    </font>
    <font>
      <sz val="10"/>
      <color theme="4" tint="-0.499984740745262"/>
      <name val="Avenir Book"/>
      <family val="2"/>
    </font>
    <font>
      <b/>
      <sz val="10"/>
      <color theme="4" tint="-0.499984740745262"/>
      <name val="Avenir Book"/>
      <family val="2"/>
    </font>
  </fonts>
  <fills count="22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B3F1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0A8"/>
        <bgColor indexed="64"/>
      </patternFill>
    </fill>
    <fill>
      <patternFill patternType="solid">
        <fgColor rgb="FFE5FAFF"/>
        <bgColor indexed="64"/>
      </patternFill>
    </fill>
    <fill>
      <patternFill patternType="solid">
        <fgColor theme="0"/>
        <bgColor theme="4" tint="-0.2499465926084170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5FAFF"/>
        <bgColor theme="4" tint="-0.2499465926084170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E8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E26B0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000000"/>
      </patternFill>
    </fill>
  </fills>
  <borders count="37">
    <border>
      <left/>
      <right/>
      <top/>
      <bottom/>
      <diagonal/>
    </border>
    <border>
      <left style="hair">
        <color rgb="FF00AAD2"/>
      </left>
      <right style="hair">
        <color rgb="FF00AAD2"/>
      </right>
      <top style="hair">
        <color rgb="FF00AAD2"/>
      </top>
      <bottom style="hair">
        <color rgb="FF00AAD2"/>
      </bottom>
      <diagonal/>
    </border>
    <border>
      <left/>
      <right/>
      <top/>
      <bottom style="medium">
        <color rgb="FF0070C0"/>
      </bottom>
      <diagonal/>
    </border>
    <border>
      <left/>
      <right style="hair">
        <color rgb="FF00AAD2"/>
      </right>
      <top style="hair">
        <color rgb="FF00AAD2"/>
      </top>
      <bottom style="hair">
        <color rgb="FF00AAD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hair">
        <color rgb="FF00AAD2"/>
      </left>
      <right/>
      <top style="hair">
        <color rgb="FF00AAD2"/>
      </top>
      <bottom style="hair">
        <color rgb="FF00AAD2"/>
      </bottom>
      <diagonal/>
    </border>
    <border>
      <left/>
      <right/>
      <top/>
      <bottom style="thin">
        <color rgb="FF0060A8"/>
      </bottom>
      <diagonal/>
    </border>
    <border>
      <left style="thin">
        <color rgb="FF0060A8"/>
      </left>
      <right/>
      <top style="thin">
        <color rgb="FF0060A8"/>
      </top>
      <bottom style="thin">
        <color rgb="FF0060A8"/>
      </bottom>
      <diagonal/>
    </border>
    <border>
      <left/>
      <right/>
      <top style="thin">
        <color rgb="FF0060A8"/>
      </top>
      <bottom style="thin">
        <color rgb="FF0060A8"/>
      </bottom>
      <diagonal/>
    </border>
    <border>
      <left/>
      <right style="thin">
        <color rgb="FF0060A8"/>
      </right>
      <top style="thin">
        <color rgb="FF0060A8"/>
      </top>
      <bottom style="thin">
        <color rgb="FF0060A8"/>
      </bottom>
      <diagonal/>
    </border>
    <border>
      <left style="thin">
        <color rgb="FF0060A8"/>
      </left>
      <right style="thin">
        <color rgb="FF0060A8"/>
      </right>
      <top style="thin">
        <color rgb="FF0060A8"/>
      </top>
      <bottom/>
      <diagonal/>
    </border>
    <border>
      <left style="thin">
        <color rgb="FF0060A8"/>
      </left>
      <right style="thin">
        <color rgb="FF0060A8"/>
      </right>
      <top/>
      <bottom/>
      <diagonal/>
    </border>
    <border>
      <left style="thin">
        <color rgb="FF0060A8"/>
      </left>
      <right style="thin">
        <color rgb="FF0060A8"/>
      </right>
      <top/>
      <bottom style="thin">
        <color rgb="FF0060A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theme="1" tint="4.9989318521683403E-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rgb="FF0060A8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5"/>
      </bottom>
      <diagonal/>
    </border>
    <border>
      <left/>
      <right style="thin">
        <color theme="0" tint="-0.14999847407452621"/>
      </right>
      <top/>
      <bottom style="medium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  <border>
      <left style="thin">
        <color theme="5" tint="0.59999389629810485"/>
      </left>
      <right/>
      <top style="thin">
        <color theme="5" tint="0.59999389629810485"/>
      </top>
      <bottom style="thin">
        <color theme="5" tint="0.59999389629810485"/>
      </bottom>
      <diagonal/>
    </border>
    <border>
      <left style="hair">
        <color rgb="FF00CCFF"/>
      </left>
      <right/>
      <top style="hair">
        <color rgb="FF00CCFF"/>
      </top>
      <bottom style="hair">
        <color rgb="FF00CCFF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/>
      <diagonal/>
    </border>
    <border>
      <left style="hair">
        <color rgb="FF00AAD2"/>
      </left>
      <right style="hair">
        <color rgb="FF00AAD2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86" fillId="0" borderId="0"/>
  </cellStyleXfs>
  <cellXfs count="5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/>
    <xf numFmtId="0" fontId="10" fillId="2" borderId="0" xfId="0" applyFont="1" applyFill="1"/>
    <xf numFmtId="0" fontId="11" fillId="0" borderId="2" xfId="0" applyFont="1" applyBorder="1"/>
    <xf numFmtId="1" fontId="11" fillId="0" borderId="2" xfId="0" applyNumberFormat="1" applyFont="1" applyBorder="1"/>
    <xf numFmtId="0" fontId="11" fillId="5" borderId="0" xfId="0" applyFont="1" applyFill="1"/>
    <xf numFmtId="0" fontId="10" fillId="0" borderId="0" xfId="0" applyFont="1"/>
    <xf numFmtId="0" fontId="8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9" fontId="7" fillId="0" borderId="0" xfId="2" applyFont="1" applyFill="1"/>
    <xf numFmtId="0" fontId="15" fillId="0" borderId="0" xfId="0" applyFont="1"/>
    <xf numFmtId="0" fontId="7" fillId="0" borderId="0" xfId="0" applyFont="1" applyAlignment="1">
      <alignment horizontal="center"/>
    </xf>
    <xf numFmtId="0" fontId="12" fillId="0" borderId="0" xfId="0" applyFont="1"/>
    <xf numFmtId="0" fontId="16" fillId="0" borderId="0" xfId="0" applyFont="1"/>
    <xf numFmtId="0" fontId="17" fillId="0" borderId="0" xfId="0" applyFont="1"/>
    <xf numFmtId="9" fontId="17" fillId="0" borderId="0" xfId="2" applyFont="1" applyFill="1"/>
    <xf numFmtId="0" fontId="19" fillId="0" borderId="0" xfId="0" applyFont="1"/>
    <xf numFmtId="2" fontId="19" fillId="0" borderId="0" xfId="0" applyNumberFormat="1" applyFont="1"/>
    <xf numFmtId="1" fontId="17" fillId="0" borderId="0" xfId="2" applyNumberFormat="1" applyFont="1" applyFill="1"/>
    <xf numFmtId="1" fontId="17" fillId="0" borderId="0" xfId="0" applyNumberFormat="1" applyFont="1"/>
    <xf numFmtId="0" fontId="10" fillId="0" borderId="0" xfId="0" applyFont="1" applyAlignment="1">
      <alignment vertical="center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/>
    </xf>
    <xf numFmtId="0" fontId="16" fillId="6" borderId="0" xfId="0" applyFont="1" applyFill="1"/>
    <xf numFmtId="0" fontId="8" fillId="6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20" fillId="0" borderId="0" xfId="0" applyFont="1"/>
    <xf numFmtId="9" fontId="17" fillId="0" borderId="0" xfId="2" applyFont="1" applyFill="1" applyBorder="1" applyAlignment="1">
      <alignment horizontal="right"/>
    </xf>
    <xf numFmtId="9" fontId="10" fillId="0" borderId="0" xfId="2" applyFont="1" applyAlignment="1">
      <alignment horizontal="center"/>
    </xf>
    <xf numFmtId="0" fontId="8" fillId="0" borderId="0" xfId="0" applyFont="1" applyAlignment="1">
      <alignment wrapText="1"/>
    </xf>
    <xf numFmtId="0" fontId="21" fillId="0" borderId="0" xfId="0" applyFont="1"/>
    <xf numFmtId="165" fontId="23" fillId="0" borderId="0" xfId="1" applyNumberFormat="1" applyFont="1"/>
    <xf numFmtId="165" fontId="25" fillId="0" borderId="0" xfId="1" applyNumberFormat="1" applyFont="1"/>
    <xf numFmtId="171" fontId="26" fillId="0" borderId="0" xfId="1" applyNumberFormat="1" applyFont="1" applyFill="1" applyAlignment="1">
      <alignment horizontal="right"/>
    </xf>
    <xf numFmtId="165" fontId="26" fillId="0" borderId="0" xfId="1" applyNumberFormat="1" applyFont="1" applyAlignment="1">
      <alignment horizontal="right"/>
    </xf>
    <xf numFmtId="17" fontId="27" fillId="14" borderId="13" xfId="1" applyNumberFormat="1" applyFont="1" applyFill="1" applyBorder="1" applyAlignment="1">
      <alignment horizontal="right" vertical="center"/>
    </xf>
    <xf numFmtId="165" fontId="27" fillId="14" borderId="13" xfId="1" applyNumberFormat="1" applyFont="1" applyFill="1" applyBorder="1" applyAlignment="1">
      <alignment horizontal="right" vertical="center"/>
    </xf>
    <xf numFmtId="172" fontId="27" fillId="14" borderId="13" xfId="2" applyNumberFormat="1" applyFont="1" applyFill="1" applyBorder="1" applyAlignment="1">
      <alignment horizontal="right" vertical="center"/>
    </xf>
    <xf numFmtId="165" fontId="26" fillId="0" borderId="0" xfId="1" applyNumberFormat="1" applyFont="1"/>
    <xf numFmtId="165" fontId="26" fillId="0" borderId="0" xfId="1" applyNumberFormat="1" applyFont="1" applyAlignment="1">
      <alignment horizontal="right" vertical="center"/>
    </xf>
    <xf numFmtId="165" fontId="27" fillId="0" borderId="0" xfId="1" applyNumberFormat="1" applyFont="1" applyFill="1" applyBorder="1" applyAlignment="1">
      <alignment horizontal="right" vertical="center"/>
    </xf>
    <xf numFmtId="165" fontId="30" fillId="0" borderId="0" xfId="1" applyNumberFormat="1" applyFont="1"/>
    <xf numFmtId="165" fontId="31" fillId="0" borderId="0" xfId="0" applyNumberFormat="1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center"/>
    </xf>
    <xf numFmtId="0" fontId="35" fillId="0" borderId="0" xfId="0" applyFont="1"/>
    <xf numFmtId="0" fontId="37" fillId="0" borderId="0" xfId="0" applyFont="1" applyAlignment="1">
      <alignment horizontal="center"/>
    </xf>
    <xf numFmtId="0" fontId="37" fillId="0" borderId="0" xfId="0" applyFont="1"/>
    <xf numFmtId="0" fontId="38" fillId="0" borderId="0" xfId="0" applyFont="1"/>
    <xf numFmtId="0" fontId="40" fillId="0" borderId="0" xfId="0" applyFont="1"/>
    <xf numFmtId="0" fontId="32" fillId="0" borderId="0" xfId="0" applyFont="1" applyAlignment="1">
      <alignment horizontal="center"/>
    </xf>
    <xf numFmtId="0" fontId="36" fillId="0" borderId="0" xfId="0" applyFont="1"/>
    <xf numFmtId="3" fontId="36" fillId="0" borderId="0" xfId="0" applyNumberFormat="1" applyFont="1" applyAlignment="1">
      <alignment horizontal="right"/>
    </xf>
    <xf numFmtId="0" fontId="41" fillId="0" borderId="0" xfId="0" applyFont="1"/>
    <xf numFmtId="0" fontId="42" fillId="0" borderId="0" xfId="0" applyFont="1"/>
    <xf numFmtId="164" fontId="4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/>
    </xf>
    <xf numFmtId="0" fontId="33" fillId="5" borderId="0" xfId="0" applyFont="1" applyFill="1"/>
    <xf numFmtId="37" fontId="34" fillId="0" borderId="0" xfId="0" applyNumberFormat="1" applyFont="1" applyAlignment="1">
      <alignment horizontal="right"/>
    </xf>
    <xf numFmtId="0" fontId="33" fillId="4" borderId="0" xfId="0" applyFont="1" applyFill="1"/>
    <xf numFmtId="37" fontId="41" fillId="0" borderId="0" xfId="0" applyNumberFormat="1" applyFont="1" applyAlignment="1">
      <alignment horizontal="right"/>
    </xf>
    <xf numFmtId="0" fontId="44" fillId="0" borderId="0" xfId="0" applyFont="1" applyAlignment="1">
      <alignment horizontal="left"/>
    </xf>
    <xf numFmtId="0" fontId="45" fillId="0" borderId="0" xfId="0" applyFont="1"/>
    <xf numFmtId="49" fontId="34" fillId="0" borderId="0" xfId="0" applyNumberFormat="1" applyFont="1"/>
    <xf numFmtId="37" fontId="34" fillId="0" borderId="0" xfId="0" applyNumberFormat="1" applyFont="1"/>
    <xf numFmtId="3" fontId="41" fillId="0" borderId="0" xfId="0" applyNumberFormat="1" applyFont="1" applyAlignment="1">
      <alignment horizontal="right"/>
    </xf>
    <xf numFmtId="0" fontId="10" fillId="6" borderId="0" xfId="0" applyFont="1" applyFill="1"/>
    <xf numFmtId="172" fontId="10" fillId="6" borderId="0" xfId="2" applyNumberFormat="1" applyFont="1" applyFill="1" applyBorder="1" applyAlignment="1">
      <alignment horizontal="right" vertical="center"/>
    </xf>
    <xf numFmtId="9" fontId="10" fillId="6" borderId="0" xfId="2" applyFont="1" applyFill="1" applyBorder="1" applyAlignment="1">
      <alignment horizontal="right" vertical="center"/>
    </xf>
    <xf numFmtId="0" fontId="10" fillId="6" borderId="0" xfId="0" applyFont="1" applyFill="1" applyAlignment="1">
      <alignment horizontal="center" vertical="center"/>
    </xf>
    <xf numFmtId="165" fontId="10" fillId="6" borderId="0" xfId="1" applyNumberFormat="1" applyFont="1" applyFill="1" applyBorder="1" applyAlignment="1">
      <alignment horizontal="right" vertical="center"/>
    </xf>
    <xf numFmtId="165" fontId="10" fillId="6" borderId="0" xfId="1" applyNumberFormat="1" applyFont="1" applyFill="1" applyBorder="1" applyAlignment="1">
      <alignment horizontal="right"/>
    </xf>
    <xf numFmtId="174" fontId="10" fillId="6" borderId="0" xfId="1" applyNumberFormat="1" applyFont="1" applyFill="1" applyBorder="1" applyAlignment="1">
      <alignment horizontal="right"/>
    </xf>
    <xf numFmtId="9" fontId="10" fillId="6" borderId="0" xfId="2" applyFont="1" applyFill="1" applyBorder="1" applyAlignment="1">
      <alignment horizontal="right"/>
    </xf>
    <xf numFmtId="0" fontId="33" fillId="6" borderId="0" xfId="0" applyFont="1" applyFill="1"/>
    <xf numFmtId="0" fontId="33" fillId="6" borderId="0" xfId="0" applyFont="1" applyFill="1" applyAlignment="1">
      <alignment horizontal="center" wrapText="1"/>
    </xf>
    <xf numFmtId="0" fontId="34" fillId="0" borderId="0" xfId="0" applyFont="1" applyAlignment="1">
      <alignment horizontal="center" vertical="center"/>
    </xf>
    <xf numFmtId="9" fontId="33" fillId="0" borderId="0" xfId="2" applyFont="1" applyFill="1"/>
    <xf numFmtId="165" fontId="33" fillId="0" borderId="0" xfId="1" applyNumberFormat="1" applyFont="1" applyFill="1" applyBorder="1" applyAlignment="1">
      <alignment horizontal="right"/>
    </xf>
    <xf numFmtId="0" fontId="46" fillId="2" borderId="0" xfId="0" applyFont="1" applyFill="1"/>
    <xf numFmtId="0" fontId="34" fillId="2" borderId="0" xfId="0" applyFont="1" applyFill="1"/>
    <xf numFmtId="0" fontId="34" fillId="2" borderId="0" xfId="0" applyFont="1" applyFill="1" applyAlignment="1">
      <alignment horizontal="center"/>
    </xf>
    <xf numFmtId="0" fontId="47" fillId="0" borderId="0" xfId="0" applyFont="1"/>
    <xf numFmtId="3" fontId="34" fillId="0" borderId="0" xfId="0" applyNumberFormat="1" applyFont="1"/>
    <xf numFmtId="3" fontId="36" fillId="0" borderId="0" xfId="0" applyNumberFormat="1" applyFont="1" applyAlignment="1">
      <alignment horizontal="center"/>
    </xf>
    <xf numFmtId="9" fontId="34" fillId="0" borderId="0" xfId="0" applyNumberFormat="1" applyFont="1" applyAlignment="1">
      <alignment horizontal="center"/>
    </xf>
    <xf numFmtId="0" fontId="46" fillId="2" borderId="0" xfId="0" applyFont="1" applyFill="1" applyAlignment="1">
      <alignment horizontal="center"/>
    </xf>
    <xf numFmtId="9" fontId="32" fillId="0" borderId="0" xfId="2" applyFont="1" applyAlignment="1">
      <alignment horizontal="center"/>
    </xf>
    <xf numFmtId="0" fontId="50" fillId="0" borderId="0" xfId="0" applyFont="1"/>
    <xf numFmtId="164" fontId="48" fillId="0" borderId="0" xfId="0" applyNumberFormat="1" applyFont="1" applyAlignment="1">
      <alignment horizontal="right" vertical="center"/>
    </xf>
    <xf numFmtId="0" fontId="37" fillId="0" borderId="0" xfId="0" applyFont="1" applyAlignment="1">
      <alignment horizontal="left" indent="1"/>
    </xf>
    <xf numFmtId="0" fontId="51" fillId="0" borderId="0" xfId="0" applyFont="1"/>
    <xf numFmtId="3" fontId="51" fillId="0" borderId="0" xfId="0" applyNumberFormat="1" applyFont="1" applyAlignment="1">
      <alignment horizontal="right"/>
    </xf>
    <xf numFmtId="3" fontId="37" fillId="0" borderId="0" xfId="0" applyNumberFormat="1" applyFont="1" applyAlignment="1">
      <alignment horizontal="right"/>
    </xf>
    <xf numFmtId="0" fontId="48" fillId="5" borderId="0" xfId="0" applyFont="1" applyFill="1"/>
    <xf numFmtId="3" fontId="32" fillId="0" borderId="0" xfId="0" applyNumberFormat="1" applyFont="1" applyAlignment="1">
      <alignment horizontal="right"/>
    </xf>
    <xf numFmtId="0" fontId="41" fillId="0" borderId="0" xfId="0" applyFont="1" applyAlignment="1">
      <alignment horizontal="center"/>
    </xf>
    <xf numFmtId="0" fontId="52" fillId="0" borderId="0" xfId="0" applyFont="1"/>
    <xf numFmtId="0" fontId="40" fillId="0" borderId="0" xfId="0" applyFont="1" applyAlignment="1">
      <alignment horizontal="center"/>
    </xf>
    <xf numFmtId="0" fontId="37" fillId="13" borderId="0" xfId="0" applyFont="1" applyFill="1"/>
    <xf numFmtId="0" fontId="37" fillId="0" borderId="6" xfId="0" applyFont="1" applyBorder="1"/>
    <xf numFmtId="3" fontId="45" fillId="0" borderId="0" xfId="0" applyNumberFormat="1" applyFont="1" applyAlignment="1">
      <alignment horizontal="center"/>
    </xf>
    <xf numFmtId="37" fontId="37" fillId="0" borderId="0" xfId="0" applyNumberFormat="1" applyFont="1"/>
    <xf numFmtId="37" fontId="37" fillId="0" borderId="0" xfId="0" applyNumberFormat="1" applyFont="1" applyAlignment="1">
      <alignment horizontal="right"/>
    </xf>
    <xf numFmtId="0" fontId="9" fillId="6" borderId="0" xfId="0" applyFont="1" applyFill="1"/>
    <xf numFmtId="3" fontId="37" fillId="0" borderId="0" xfId="0" applyNumberFormat="1" applyFont="1"/>
    <xf numFmtId="37" fontId="32" fillId="0" borderId="0" xfId="0" applyNumberFormat="1" applyFont="1"/>
    <xf numFmtId="0" fontId="48" fillId="4" borderId="0" xfId="0" applyFont="1" applyFill="1"/>
    <xf numFmtId="165" fontId="34" fillId="0" borderId="0" xfId="1" applyNumberFormat="1" applyFont="1"/>
    <xf numFmtId="0" fontId="40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29" fillId="6" borderId="0" xfId="0" applyFont="1" applyFill="1" applyAlignment="1">
      <alignment horizontal="left"/>
    </xf>
    <xf numFmtId="0" fontId="35" fillId="6" borderId="0" xfId="0" applyFont="1" applyFill="1"/>
    <xf numFmtId="164" fontId="33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 indent="1"/>
    </xf>
    <xf numFmtId="37" fontId="33" fillId="0" borderId="0" xfId="0" applyNumberFormat="1" applyFont="1" applyAlignment="1">
      <alignment horizontal="right"/>
    </xf>
    <xf numFmtId="0" fontId="54" fillId="0" borderId="0" xfId="0" applyFont="1"/>
    <xf numFmtId="0" fontId="43" fillId="0" borderId="0" xfId="0" applyFont="1"/>
    <xf numFmtId="37" fontId="43" fillId="0" borderId="0" xfId="0" applyNumberFormat="1" applyFont="1"/>
    <xf numFmtId="37" fontId="36" fillId="0" borderId="0" xfId="0" applyNumberFormat="1" applyFont="1"/>
    <xf numFmtId="0" fontId="33" fillId="0" borderId="0" xfId="0" applyFont="1" applyAlignment="1">
      <alignment horizontal="center"/>
    </xf>
    <xf numFmtId="3" fontId="34" fillId="0" borderId="0" xfId="0" applyNumberFormat="1" applyFont="1" applyAlignment="1">
      <alignment horizontal="right"/>
    </xf>
    <xf numFmtId="0" fontId="48" fillId="0" borderId="0" xfId="0" applyFont="1"/>
    <xf numFmtId="37" fontId="33" fillId="0" borderId="0" xfId="0" applyNumberFormat="1" applyFont="1"/>
    <xf numFmtId="37" fontId="33" fillId="5" borderId="0" xfId="0" applyNumberFormat="1" applyFont="1" applyFill="1"/>
    <xf numFmtId="9" fontId="33" fillId="0" borderId="0" xfId="0" applyNumberFormat="1" applyFont="1"/>
    <xf numFmtId="0" fontId="45" fillId="0" borderId="0" xfId="0" applyFont="1" applyAlignment="1">
      <alignment horizontal="center"/>
    </xf>
    <xf numFmtId="3" fontId="45" fillId="0" borderId="0" xfId="0" applyNumberFormat="1" applyFont="1" applyAlignment="1">
      <alignment horizontal="right"/>
    </xf>
    <xf numFmtId="37" fontId="43" fillId="0" borderId="0" xfId="0" applyNumberFormat="1" applyFont="1" applyAlignment="1">
      <alignment horizontal="right"/>
    </xf>
    <xf numFmtId="37" fontId="48" fillId="0" borderId="0" xfId="0" applyNumberFormat="1" applyFont="1" applyAlignment="1">
      <alignment horizontal="right"/>
    </xf>
    <xf numFmtId="9" fontId="33" fillId="0" borderId="0" xfId="2" applyFont="1"/>
    <xf numFmtId="9" fontId="34" fillId="0" borderId="4" xfId="2" applyFont="1" applyFill="1" applyBorder="1" applyAlignment="1">
      <alignment horizontal="right"/>
    </xf>
    <xf numFmtId="9" fontId="34" fillId="0" borderId="0" xfId="2" applyFont="1" applyFill="1" applyBorder="1" applyAlignment="1">
      <alignment horizontal="right"/>
    </xf>
    <xf numFmtId="9" fontId="37" fillId="0" borderId="0" xfId="2" applyFont="1" applyFill="1" applyBorder="1" applyAlignment="1">
      <alignment horizontal="right"/>
    </xf>
    <xf numFmtId="9" fontId="37" fillId="0" borderId="0" xfId="2" applyFont="1" applyAlignment="1">
      <alignment horizontal="center"/>
    </xf>
    <xf numFmtId="0" fontId="48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9" fontId="48" fillId="5" borderId="0" xfId="2" applyFont="1" applyFill="1" applyAlignment="1">
      <alignment horizontal="center"/>
    </xf>
    <xf numFmtId="9" fontId="48" fillId="0" borderId="0" xfId="2" applyFont="1" applyFill="1" applyAlignment="1">
      <alignment horizontal="center"/>
    </xf>
    <xf numFmtId="172" fontId="48" fillId="0" borderId="0" xfId="2" applyNumberFormat="1" applyFont="1" applyFill="1" applyBorder="1" applyAlignment="1">
      <alignment horizontal="center"/>
    </xf>
    <xf numFmtId="172" fontId="55" fillId="0" borderId="0" xfId="2" applyNumberFormat="1" applyFont="1" applyFill="1" applyBorder="1" applyAlignment="1">
      <alignment horizontal="center"/>
    </xf>
    <xf numFmtId="171" fontId="37" fillId="0" borderId="0" xfId="0" applyNumberFormat="1" applyFont="1" applyAlignment="1">
      <alignment horizontal="center"/>
    </xf>
    <xf numFmtId="9" fontId="34" fillId="0" borderId="0" xfId="2" applyFont="1" applyAlignment="1">
      <alignment horizontal="center"/>
    </xf>
    <xf numFmtId="165" fontId="32" fillId="0" borderId="0" xfId="0" applyNumberFormat="1" applyFont="1"/>
    <xf numFmtId="0" fontId="56" fillId="0" borderId="6" xfId="0" applyFont="1" applyBorder="1" applyAlignment="1">
      <alignment horizontal="left" indent="1"/>
    </xf>
    <xf numFmtId="0" fontId="57" fillId="0" borderId="0" xfId="0" applyFont="1"/>
    <xf numFmtId="178" fontId="57" fillId="0" borderId="0" xfId="0" applyNumberFormat="1" applyFont="1"/>
    <xf numFmtId="165" fontId="33" fillId="0" borderId="0" xfId="0" applyNumberFormat="1" applyFont="1"/>
    <xf numFmtId="0" fontId="57" fillId="0" borderId="0" xfId="0" applyFont="1" applyAlignment="1">
      <alignment horizontal="center"/>
    </xf>
    <xf numFmtId="0" fontId="35" fillId="6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43" fillId="0" borderId="2" xfId="0" applyFont="1" applyBorder="1"/>
    <xf numFmtId="0" fontId="43" fillId="0" borderId="2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3" fillId="5" borderId="0" xfId="0" applyFont="1" applyFill="1"/>
    <xf numFmtId="0" fontId="43" fillId="5" borderId="0" xfId="0" applyFont="1" applyFill="1" applyAlignment="1">
      <alignment horizontal="center"/>
    </xf>
    <xf numFmtId="0" fontId="46" fillId="0" borderId="0" xfId="0" applyFont="1"/>
    <xf numFmtId="37" fontId="46" fillId="0" borderId="0" xfId="0" applyNumberFormat="1" applyFont="1"/>
    <xf numFmtId="37" fontId="33" fillId="5" borderId="0" xfId="0" applyNumberFormat="1" applyFont="1" applyFill="1" applyAlignment="1">
      <alignment horizontal="right"/>
    </xf>
    <xf numFmtId="0" fontId="60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3" fontId="37" fillId="0" borderId="6" xfId="0" applyNumberFormat="1" applyFont="1" applyBorder="1" applyAlignment="1">
      <alignment horizontal="right"/>
    </xf>
    <xf numFmtId="0" fontId="61" fillId="0" borderId="0" xfId="0" applyFont="1" applyAlignment="1">
      <alignment horizontal="left"/>
    </xf>
    <xf numFmtId="9" fontId="56" fillId="0" borderId="6" xfId="2" applyFont="1" applyBorder="1"/>
    <xf numFmtId="0" fontId="59" fillId="0" borderId="0" xfId="0" applyFont="1" applyAlignment="1">
      <alignment horizontal="left"/>
    </xf>
    <xf numFmtId="1" fontId="48" fillId="0" borderId="0" xfId="0" applyNumberFormat="1" applyFont="1"/>
    <xf numFmtId="37" fontId="48" fillId="4" borderId="1" xfId="0" applyNumberFormat="1" applyFont="1" applyFill="1" applyBorder="1" applyAlignment="1">
      <alignment horizontal="right"/>
    </xf>
    <xf numFmtId="39" fontId="32" fillId="0" borderId="0" xfId="0" applyNumberFormat="1" applyFont="1"/>
    <xf numFmtId="37" fontId="33" fillId="5" borderId="5" xfId="0" applyNumberFormat="1" applyFont="1" applyFill="1" applyBorder="1" applyAlignment="1">
      <alignment horizontal="right"/>
    </xf>
    <xf numFmtId="37" fontId="41" fillId="0" borderId="0" xfId="0" applyNumberFormat="1" applyFont="1"/>
    <xf numFmtId="3" fontId="36" fillId="0" borderId="0" xfId="0" applyNumberFormat="1" applyFont="1"/>
    <xf numFmtId="166" fontId="33" fillId="0" borderId="0" xfId="0" applyNumberFormat="1" applyFont="1" applyAlignment="1">
      <alignment horizontal="right" vertical="center"/>
    </xf>
    <xf numFmtId="166" fontId="33" fillId="14" borderId="14" xfId="0" applyNumberFormat="1" applyFont="1" applyFill="1" applyBorder="1" applyAlignment="1">
      <alignment horizontal="right" vertical="center"/>
    </xf>
    <xf numFmtId="9" fontId="34" fillId="0" borderId="0" xfId="2" applyFont="1" applyFill="1" applyBorder="1" applyAlignment="1">
      <alignment horizontal="center"/>
    </xf>
    <xf numFmtId="0" fontId="62" fillId="0" borderId="0" xfId="0" applyFont="1"/>
    <xf numFmtId="0" fontId="63" fillId="0" borderId="0" xfId="0" applyFont="1" applyAlignment="1">
      <alignment horizontal="center"/>
    </xf>
    <xf numFmtId="0" fontId="63" fillId="0" borderId="0" xfId="0" applyFont="1"/>
    <xf numFmtId="0" fontId="62" fillId="0" borderId="0" xfId="0" applyFont="1" applyAlignment="1">
      <alignment horizontal="left" indent="1"/>
    </xf>
    <xf numFmtId="37" fontId="62" fillId="0" borderId="0" xfId="2" applyNumberFormat="1" applyFont="1"/>
    <xf numFmtId="9" fontId="62" fillId="0" borderId="0" xfId="2" applyFont="1"/>
    <xf numFmtId="0" fontId="62" fillId="0" borderId="6" xfId="0" applyFont="1" applyBorder="1" applyAlignment="1">
      <alignment horizontal="left" indent="1"/>
    </xf>
    <xf numFmtId="0" fontId="34" fillId="0" borderId="6" xfId="0" applyFont="1" applyBorder="1"/>
    <xf numFmtId="37" fontId="34" fillId="0" borderId="6" xfId="0" applyNumberFormat="1" applyFont="1" applyBorder="1"/>
    <xf numFmtId="0" fontId="62" fillId="0" borderId="0" xfId="0" applyFont="1" applyAlignment="1">
      <alignment horizontal="left"/>
    </xf>
    <xf numFmtId="9" fontId="24" fillId="14" borderId="13" xfId="2" applyFont="1" applyFill="1" applyBorder="1"/>
    <xf numFmtId="165" fontId="23" fillId="0" borderId="0" xfId="1" applyNumberFormat="1" applyFont="1" applyBorder="1"/>
    <xf numFmtId="9" fontId="62" fillId="0" borderId="0" xfId="2" applyFont="1" applyBorder="1"/>
    <xf numFmtId="37" fontId="34" fillId="6" borderId="0" xfId="0" applyNumberFormat="1" applyFont="1" applyFill="1" applyAlignment="1">
      <alignment horizontal="right"/>
    </xf>
    <xf numFmtId="9" fontId="62" fillId="0" borderId="6" xfId="2" applyFont="1" applyBorder="1"/>
    <xf numFmtId="37" fontId="41" fillId="6" borderId="0" xfId="0" applyNumberFormat="1" applyFont="1" applyFill="1" applyAlignment="1">
      <alignment horizontal="right"/>
    </xf>
    <xf numFmtId="165" fontId="26" fillId="0" borderId="0" xfId="1" applyNumberFormat="1" applyFont="1" applyBorder="1" applyAlignment="1">
      <alignment horizontal="right"/>
    </xf>
    <xf numFmtId="9" fontId="24" fillId="0" borderId="15" xfId="2" applyFont="1" applyFill="1" applyBorder="1"/>
    <xf numFmtId="9" fontId="27" fillId="14" borderId="13" xfId="2" applyFont="1" applyFill="1" applyBorder="1" applyAlignment="1">
      <alignment horizontal="right" vertical="center"/>
    </xf>
    <xf numFmtId="0" fontId="34" fillId="0" borderId="0" xfId="0" applyFont="1" applyAlignment="1">
      <alignment horizontal="left" wrapText="1" indent="1"/>
    </xf>
    <xf numFmtId="1" fontId="27" fillId="14" borderId="13" xfId="2" applyNumberFormat="1" applyFont="1" applyFill="1" applyBorder="1" applyAlignment="1">
      <alignment horizontal="right" vertical="center"/>
    </xf>
    <xf numFmtId="165" fontId="25" fillId="0" borderId="0" xfId="1" applyNumberFormat="1" applyFont="1" applyAlignment="1">
      <alignment horizontal="right"/>
    </xf>
    <xf numFmtId="0" fontId="65" fillId="0" borderId="0" xfId="0" applyFont="1"/>
    <xf numFmtId="172" fontId="66" fillId="0" borderId="0" xfId="2" applyNumberFormat="1" applyFont="1" applyFill="1" applyBorder="1" applyAlignment="1">
      <alignment horizontal="center"/>
    </xf>
    <xf numFmtId="0" fontId="57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62" fillId="0" borderId="0" xfId="0" applyFont="1" applyAlignment="1">
      <alignment horizontal="right"/>
    </xf>
    <xf numFmtId="0" fontId="34" fillId="0" borderId="6" xfId="0" applyFont="1" applyBorder="1" applyAlignment="1">
      <alignment horizontal="right"/>
    </xf>
    <xf numFmtId="9" fontId="24" fillId="0" borderId="0" xfId="2" applyFont="1" applyFill="1" applyBorder="1"/>
    <xf numFmtId="0" fontId="3" fillId="0" borderId="17" xfId="0" applyFont="1" applyBorder="1"/>
    <xf numFmtId="0" fontId="67" fillId="0" borderId="0" xfId="0" applyFont="1"/>
    <xf numFmtId="165" fontId="30" fillId="0" borderId="0" xfId="1" applyNumberFormat="1" applyFont="1" applyBorder="1"/>
    <xf numFmtId="0" fontId="30" fillId="0" borderId="0" xfId="0" applyFont="1"/>
    <xf numFmtId="10" fontId="27" fillId="14" borderId="13" xfId="2" applyNumberFormat="1" applyFont="1" applyFill="1" applyBorder="1" applyAlignment="1">
      <alignment horizontal="right" vertical="center"/>
    </xf>
    <xf numFmtId="165" fontId="26" fillId="0" borderId="0" xfId="1" applyNumberFormat="1" applyFont="1" applyFill="1" applyAlignment="1">
      <alignment horizontal="right"/>
    </xf>
    <xf numFmtId="3" fontId="34" fillId="0" borderId="17" xfId="0" applyNumberFormat="1" applyFont="1" applyBorder="1"/>
    <xf numFmtId="1" fontId="27" fillId="14" borderId="13" xfId="1" applyNumberFormat="1" applyFont="1" applyFill="1" applyBorder="1" applyAlignment="1">
      <alignment horizontal="right" vertical="center"/>
    </xf>
    <xf numFmtId="165" fontId="23" fillId="0" borderId="16" xfId="1" applyNumberFormat="1" applyFont="1" applyBorder="1"/>
    <xf numFmtId="165" fontId="31" fillId="0" borderId="16" xfId="0" applyNumberFormat="1" applyFont="1" applyBorder="1"/>
    <xf numFmtId="179" fontId="30" fillId="0" borderId="0" xfId="1" applyNumberFormat="1" applyFont="1"/>
    <xf numFmtId="9" fontId="62" fillId="0" borderId="0" xfId="2" applyFont="1" applyAlignment="1">
      <alignment horizontal="right"/>
    </xf>
    <xf numFmtId="0" fontId="33" fillId="5" borderId="0" xfId="0" applyFont="1" applyFill="1" applyAlignment="1">
      <alignment horizontal="right"/>
    </xf>
    <xf numFmtId="0" fontId="34" fillId="5" borderId="0" xfId="0" applyFont="1" applyFill="1"/>
    <xf numFmtId="165" fontId="25" fillId="5" borderId="0" xfId="1" applyNumberFormat="1" applyFont="1" applyFill="1" applyAlignment="1">
      <alignment horizontal="right"/>
    </xf>
    <xf numFmtId="165" fontId="27" fillId="5" borderId="0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right"/>
    </xf>
    <xf numFmtId="37" fontId="33" fillId="4" borderId="0" xfId="0" applyNumberFormat="1" applyFont="1" applyFill="1" applyAlignment="1">
      <alignment horizontal="right"/>
    </xf>
    <xf numFmtId="0" fontId="34" fillId="0" borderId="17" xfId="0" applyFont="1" applyBorder="1"/>
    <xf numFmtId="0" fontId="32" fillId="0" borderId="18" xfId="0" applyFont="1" applyBorder="1"/>
    <xf numFmtId="0" fontId="8" fillId="0" borderId="18" xfId="0" applyFont="1" applyBorder="1"/>
    <xf numFmtId="178" fontId="57" fillId="0" borderId="18" xfId="0" applyNumberFormat="1" applyFont="1" applyBorder="1"/>
    <xf numFmtId="37" fontId="34" fillId="0" borderId="18" xfId="0" applyNumberFormat="1" applyFont="1" applyBorder="1" applyAlignment="1">
      <alignment horizontal="right"/>
    </xf>
    <xf numFmtId="37" fontId="33" fillId="0" borderId="18" xfId="0" applyNumberFormat="1" applyFont="1" applyBorder="1" applyAlignment="1">
      <alignment horizontal="right"/>
    </xf>
    <xf numFmtId="165" fontId="23" fillId="0" borderId="18" xfId="1" applyNumberFormat="1" applyFont="1" applyBorder="1"/>
    <xf numFmtId="0" fontId="63" fillId="0" borderId="18" xfId="0" applyFont="1" applyBorder="1"/>
    <xf numFmtId="9" fontId="62" fillId="0" borderId="18" xfId="2" applyFont="1" applyBorder="1"/>
    <xf numFmtId="0" fontId="34" fillId="0" borderId="18" xfId="0" applyFont="1" applyBorder="1"/>
    <xf numFmtId="9" fontId="62" fillId="0" borderId="19" xfId="2" applyFont="1" applyBorder="1"/>
    <xf numFmtId="37" fontId="34" fillId="6" borderId="18" xfId="0" applyNumberFormat="1" applyFont="1" applyFill="1" applyBorder="1" applyAlignment="1">
      <alignment horizontal="right"/>
    </xf>
    <xf numFmtId="37" fontId="33" fillId="4" borderId="18" xfId="0" applyNumberFormat="1" applyFont="1" applyFill="1" applyBorder="1" applyAlignment="1">
      <alignment horizontal="right"/>
    </xf>
    <xf numFmtId="37" fontId="33" fillId="5" borderId="18" xfId="0" applyNumberFormat="1" applyFont="1" applyFill="1" applyBorder="1" applyAlignment="1">
      <alignment horizontal="right"/>
    </xf>
    <xf numFmtId="9" fontId="62" fillId="0" borderId="18" xfId="2" applyFont="1" applyBorder="1" applyAlignment="1">
      <alignment horizontal="right"/>
    </xf>
    <xf numFmtId="9" fontId="53" fillId="0" borderId="6" xfId="2" applyFont="1" applyBorder="1"/>
    <xf numFmtId="0" fontId="35" fillId="0" borderId="0" xfId="0" applyFont="1" applyAlignment="1">
      <alignment vertical="center"/>
    </xf>
    <xf numFmtId="0" fontId="57" fillId="0" borderId="0" xfId="0" applyFont="1" applyAlignment="1">
      <alignment horizontal="left" indent="2"/>
    </xf>
    <xf numFmtId="172" fontId="34" fillId="0" borderId="0" xfId="2" applyNumberFormat="1" applyFo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169" fontId="34" fillId="0" borderId="0" xfId="0" applyNumberFormat="1" applyFont="1" applyAlignment="1">
      <alignment horizontal="right" vertical="center"/>
    </xf>
    <xf numFmtId="166" fontId="33" fillId="5" borderId="0" xfId="0" applyNumberFormat="1" applyFont="1" applyFill="1" applyAlignment="1">
      <alignment horizontal="right" vertical="center"/>
    </xf>
    <xf numFmtId="166" fontId="33" fillId="4" borderId="0" xfId="0" applyNumberFormat="1" applyFont="1" applyFill="1" applyAlignment="1">
      <alignment horizontal="right" vertical="center"/>
    </xf>
    <xf numFmtId="166" fontId="34" fillId="0" borderId="0" xfId="0" applyNumberFormat="1" applyFont="1" applyAlignment="1">
      <alignment horizontal="right" vertical="center"/>
    </xf>
    <xf numFmtId="170" fontId="33" fillId="4" borderId="0" xfId="0" applyNumberFormat="1" applyFont="1" applyFill="1" applyAlignment="1">
      <alignment horizontal="left" vertical="center"/>
    </xf>
    <xf numFmtId="172" fontId="34" fillId="0" borderId="0" xfId="0" applyNumberFormat="1" applyFont="1"/>
    <xf numFmtId="170" fontId="33" fillId="3" borderId="5" xfId="0" applyNumberFormat="1" applyFont="1" applyFill="1" applyBorder="1" applyAlignment="1">
      <alignment horizontal="left" vertical="center"/>
    </xf>
    <xf numFmtId="166" fontId="33" fillId="3" borderId="3" xfId="0" applyNumberFormat="1" applyFont="1" applyFill="1" applyBorder="1" applyAlignment="1">
      <alignment horizontal="right" vertical="center"/>
    </xf>
    <xf numFmtId="169" fontId="35" fillId="0" borderId="0" xfId="0" applyNumberFormat="1" applyFont="1" applyAlignment="1">
      <alignment horizontal="right" vertical="center"/>
    </xf>
    <xf numFmtId="3" fontId="41" fillId="7" borderId="0" xfId="0" applyNumberFormat="1" applyFont="1" applyFill="1"/>
    <xf numFmtId="10" fontId="46" fillId="7" borderId="0" xfId="0" applyNumberFormat="1" applyFont="1" applyFill="1"/>
    <xf numFmtId="10" fontId="46" fillId="7" borderId="0" xfId="2" applyNumberFormat="1" applyFont="1" applyFill="1"/>
    <xf numFmtId="3" fontId="34" fillId="8" borderId="0" xfId="0" applyNumberFormat="1" applyFont="1" applyFill="1"/>
    <xf numFmtId="3" fontId="37" fillId="7" borderId="0" xfId="0" applyNumberFormat="1" applyFont="1" applyFill="1"/>
    <xf numFmtId="0" fontId="68" fillId="0" borderId="0" xfId="0" applyFont="1"/>
    <xf numFmtId="3" fontId="68" fillId="0" borderId="0" xfId="0" applyNumberFormat="1" applyFont="1"/>
    <xf numFmtId="43" fontId="34" fillId="0" borderId="0" xfId="0" applyNumberFormat="1" applyFont="1"/>
    <xf numFmtId="0" fontId="34" fillId="6" borderId="0" xfId="0" applyFont="1" applyFill="1" applyAlignment="1">
      <alignment vertical="center"/>
    </xf>
    <xf numFmtId="0" fontId="62" fillId="6" borderId="0" xfId="0" applyFont="1" applyFill="1" applyAlignment="1">
      <alignment vertical="center"/>
    </xf>
    <xf numFmtId="0" fontId="34" fillId="6" borderId="0" xfId="0" applyFont="1" applyFill="1" applyAlignment="1">
      <alignment vertical="center" wrapText="1"/>
    </xf>
    <xf numFmtId="0" fontId="46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2" fillId="6" borderId="0" xfId="0" applyFont="1" applyFill="1" applyAlignment="1">
      <alignment horizontal="center" wrapText="1"/>
    </xf>
    <xf numFmtId="0" fontId="32" fillId="6" borderId="0" xfId="0" applyFont="1" applyFill="1"/>
    <xf numFmtId="43" fontId="34" fillId="6" borderId="0" xfId="1" applyFont="1" applyFill="1" applyAlignment="1">
      <alignment vertical="center"/>
    </xf>
    <xf numFmtId="173" fontId="34" fillId="6" borderId="0" xfId="0" applyNumberFormat="1" applyFont="1" applyFill="1" applyAlignment="1">
      <alignment vertical="center"/>
    </xf>
    <xf numFmtId="0" fontId="33" fillId="6" borderId="0" xfId="0" applyFont="1" applyFill="1" applyAlignment="1">
      <alignment vertical="center"/>
    </xf>
    <xf numFmtId="0" fontId="48" fillId="10" borderId="0" xfId="0" applyFont="1" applyFill="1" applyAlignment="1">
      <alignment vertical="center"/>
    </xf>
    <xf numFmtId="0" fontId="48" fillId="10" borderId="0" xfId="0" applyFont="1" applyFill="1" applyAlignment="1">
      <alignment horizontal="center" vertical="center"/>
    </xf>
    <xf numFmtId="165" fontId="34" fillId="6" borderId="0" xfId="1" applyNumberFormat="1" applyFont="1" applyFill="1" applyAlignment="1">
      <alignment vertical="center"/>
    </xf>
    <xf numFmtId="2" fontId="34" fillId="0" borderId="0" xfId="0" applyNumberFormat="1" applyFont="1"/>
    <xf numFmtId="3" fontId="37" fillId="0" borderId="7" xfId="0" applyNumberFormat="1" applyFont="1" applyBorder="1"/>
    <xf numFmtId="37" fontId="10" fillId="0" borderId="0" xfId="0" applyNumberFormat="1" applyFont="1"/>
    <xf numFmtId="166" fontId="48" fillId="0" borderId="0" xfId="0" applyNumberFormat="1" applyFont="1" applyAlignment="1">
      <alignment horizontal="right" vertical="center"/>
    </xf>
    <xf numFmtId="0" fontId="69" fillId="0" borderId="0" xfId="0" applyFont="1"/>
    <xf numFmtId="0" fontId="29" fillId="16" borderId="0" xfId="0" applyFont="1" applyFill="1" applyAlignment="1">
      <alignment horizontal="left"/>
    </xf>
    <xf numFmtId="0" fontId="35" fillId="16" borderId="0" xfId="0" applyFont="1" applyFill="1"/>
    <xf numFmtId="0" fontId="29" fillId="17" borderId="0" xfId="0" applyFont="1" applyFill="1" applyAlignment="1">
      <alignment horizontal="left"/>
    </xf>
    <xf numFmtId="0" fontId="35" fillId="17" borderId="0" xfId="0" applyFont="1" applyFill="1"/>
    <xf numFmtId="0" fontId="35" fillId="17" borderId="0" xfId="0" applyFont="1" applyFill="1" applyAlignment="1">
      <alignment horizontal="center"/>
    </xf>
    <xf numFmtId="0" fontId="4" fillId="17" borderId="0" xfId="0" applyFont="1" applyFill="1"/>
    <xf numFmtId="0" fontId="33" fillId="18" borderId="0" xfId="0" applyFont="1" applyFill="1"/>
    <xf numFmtId="0" fontId="39" fillId="0" borderId="0" xfId="0" applyFont="1"/>
    <xf numFmtId="0" fontId="39" fillId="0" borderId="21" xfId="0" applyFont="1" applyBorder="1"/>
    <xf numFmtId="0" fontId="39" fillId="0" borderId="22" xfId="0" applyFont="1" applyBorder="1"/>
    <xf numFmtId="0" fontId="40" fillId="0" borderId="22" xfId="0" applyFont="1" applyBorder="1"/>
    <xf numFmtId="0" fontId="40" fillId="0" borderId="23" xfId="0" applyFont="1" applyBorder="1"/>
    <xf numFmtId="0" fontId="40" fillId="0" borderId="24" xfId="0" applyFont="1" applyBorder="1"/>
    <xf numFmtId="0" fontId="40" fillId="0" borderId="25" xfId="0" applyFont="1" applyBorder="1"/>
    <xf numFmtId="0" fontId="33" fillId="18" borderId="26" xfId="0" applyFont="1" applyFill="1" applyBorder="1"/>
    <xf numFmtId="0" fontId="33" fillId="18" borderId="27" xfId="0" applyFont="1" applyFill="1" applyBorder="1"/>
    <xf numFmtId="0" fontId="33" fillId="18" borderId="20" xfId="0" applyFont="1" applyFill="1" applyBorder="1"/>
    <xf numFmtId="0" fontId="29" fillId="17" borderId="0" xfId="0" applyFont="1" applyFill="1"/>
    <xf numFmtId="0" fontId="46" fillId="17" borderId="0" xfId="0" applyFont="1" applyFill="1" applyAlignment="1">
      <alignment horizontal="center"/>
    </xf>
    <xf numFmtId="0" fontId="46" fillId="17" borderId="0" xfId="0" applyFont="1" applyFill="1"/>
    <xf numFmtId="0" fontId="34" fillId="17" borderId="0" xfId="0" applyFont="1" applyFill="1"/>
    <xf numFmtId="0" fontId="34" fillId="17" borderId="0" xfId="0" applyFont="1" applyFill="1" applyAlignment="1">
      <alignment horizontal="center"/>
    </xf>
    <xf numFmtId="0" fontId="2" fillId="17" borderId="0" xfId="0" applyFont="1" applyFill="1"/>
    <xf numFmtId="0" fontId="9" fillId="16" borderId="0" xfId="0" applyFont="1" applyFill="1"/>
    <xf numFmtId="0" fontId="46" fillId="16" borderId="0" xfId="0" applyFont="1" applyFill="1"/>
    <xf numFmtId="37" fontId="33" fillId="18" borderId="0" xfId="0" applyNumberFormat="1" applyFont="1" applyFill="1" applyAlignment="1">
      <alignment horizontal="right"/>
    </xf>
    <xf numFmtId="9" fontId="33" fillId="18" borderId="0" xfId="2" applyFont="1" applyFill="1" applyAlignment="1">
      <alignment horizontal="center"/>
    </xf>
    <xf numFmtId="171" fontId="33" fillId="18" borderId="0" xfId="0" applyNumberFormat="1" applyFont="1" applyFill="1" applyAlignment="1">
      <alignment horizontal="center"/>
    </xf>
    <xf numFmtId="0" fontId="9" fillId="17" borderId="0" xfId="0" applyFont="1" applyFill="1"/>
    <xf numFmtId="9" fontId="35" fillId="17" borderId="0" xfId="2" applyFont="1" applyFill="1" applyAlignment="1">
      <alignment horizontal="center"/>
    </xf>
    <xf numFmtId="0" fontId="34" fillId="20" borderId="0" xfId="0" applyFont="1" applyFill="1" applyAlignment="1">
      <alignment horizontal="center"/>
    </xf>
    <xf numFmtId="0" fontId="34" fillId="20" borderId="0" xfId="0" applyFont="1" applyFill="1"/>
    <xf numFmtId="0" fontId="10" fillId="20" borderId="0" xfId="0" applyFont="1" applyFill="1"/>
    <xf numFmtId="0" fontId="33" fillId="20" borderId="0" xfId="0" applyFont="1" applyFill="1" applyAlignment="1">
      <alignment horizontal="center"/>
    </xf>
    <xf numFmtId="0" fontId="33" fillId="20" borderId="0" xfId="0" applyFont="1" applyFill="1"/>
    <xf numFmtId="0" fontId="33" fillId="18" borderId="0" xfId="0" applyFont="1" applyFill="1" applyAlignment="1">
      <alignment horizontal="center"/>
    </xf>
    <xf numFmtId="37" fontId="33" fillId="18" borderId="0" xfId="0" applyNumberFormat="1" applyFont="1" applyFill="1"/>
    <xf numFmtId="0" fontId="34" fillId="18" borderId="0" xfId="0" applyFont="1" applyFill="1" applyAlignment="1">
      <alignment horizontal="right"/>
    </xf>
    <xf numFmtId="0" fontId="34" fillId="18" borderId="0" xfId="0" applyFont="1" applyFill="1"/>
    <xf numFmtId="0" fontId="34" fillId="18" borderId="18" xfId="0" applyFont="1" applyFill="1" applyBorder="1"/>
    <xf numFmtId="0" fontId="10" fillId="18" borderId="0" xfId="0" applyFont="1" applyFill="1"/>
    <xf numFmtId="37" fontId="33" fillId="18" borderId="18" xfId="0" applyNumberFormat="1" applyFont="1" applyFill="1" applyBorder="1" applyAlignment="1">
      <alignment horizontal="right"/>
    </xf>
    <xf numFmtId="0" fontId="35" fillId="17" borderId="0" xfId="0" applyFont="1" applyFill="1" applyAlignment="1">
      <alignment horizontal="right"/>
    </xf>
    <xf numFmtId="0" fontId="35" fillId="17" borderId="18" xfId="0" applyFont="1" applyFill="1" applyBorder="1"/>
    <xf numFmtId="165" fontId="29" fillId="17" borderId="0" xfId="1" applyNumberFormat="1" applyFont="1" applyFill="1"/>
    <xf numFmtId="9" fontId="48" fillId="0" borderId="0" xfId="2" applyFont="1" applyFill="1" applyBorder="1" applyAlignment="1">
      <alignment horizontal="center"/>
    </xf>
    <xf numFmtId="0" fontId="33" fillId="0" borderId="28" xfId="0" applyFont="1" applyBorder="1"/>
    <xf numFmtId="0" fontId="33" fillId="0" borderId="28" xfId="0" applyFont="1" applyBorder="1" applyAlignment="1">
      <alignment horizontal="center" wrapText="1"/>
    </xf>
    <xf numFmtId="1" fontId="33" fillId="0" borderId="28" xfId="0" applyNumberFormat="1" applyFont="1" applyBorder="1"/>
    <xf numFmtId="178" fontId="33" fillId="0" borderId="28" xfId="0" applyNumberFormat="1" applyFont="1" applyBorder="1"/>
    <xf numFmtId="0" fontId="59" fillId="0" borderId="28" xfId="0" applyFont="1" applyBorder="1" applyAlignment="1">
      <alignment horizontal="center" wrapText="1"/>
    </xf>
    <xf numFmtId="0" fontId="48" fillId="0" borderId="28" xfId="0" applyFont="1" applyBorder="1"/>
    <xf numFmtId="1" fontId="48" fillId="0" borderId="28" xfId="0" applyNumberFormat="1" applyFont="1" applyBorder="1"/>
    <xf numFmtId="178" fontId="48" fillId="0" borderId="28" xfId="0" applyNumberFormat="1" applyFont="1" applyBorder="1"/>
    <xf numFmtId="0" fontId="46" fillId="16" borderId="0" xfId="0" applyFont="1" applyFill="1" applyAlignment="1">
      <alignment horizontal="center"/>
    </xf>
    <xf numFmtId="3" fontId="46" fillId="16" borderId="0" xfId="0" applyNumberFormat="1" applyFont="1" applyFill="1" applyAlignment="1">
      <alignment horizontal="right"/>
    </xf>
    <xf numFmtId="0" fontId="48" fillId="0" borderId="28" xfId="0" applyFont="1" applyBorder="1" applyAlignment="1">
      <alignment wrapText="1"/>
    </xf>
    <xf numFmtId="1" fontId="48" fillId="0" borderId="28" xfId="0" applyNumberFormat="1" applyFont="1" applyBorder="1" applyAlignment="1">
      <alignment horizontal="center" wrapText="1"/>
    </xf>
    <xf numFmtId="9" fontId="48" fillId="0" borderId="28" xfId="2" applyFont="1" applyBorder="1" applyAlignment="1">
      <alignment horizontal="center" wrapText="1"/>
    </xf>
    <xf numFmtId="1" fontId="48" fillId="0" borderId="28" xfId="0" applyNumberFormat="1" applyFont="1" applyBorder="1" applyAlignment="1">
      <alignment wrapText="1"/>
    </xf>
    <xf numFmtId="1" fontId="64" fillId="0" borderId="28" xfId="0" applyNumberFormat="1" applyFont="1" applyBorder="1" applyAlignment="1">
      <alignment wrapText="1"/>
    </xf>
    <xf numFmtId="0" fontId="33" fillId="0" borderId="28" xfId="0" applyFont="1" applyBorder="1" applyAlignment="1">
      <alignment horizontal="right"/>
    </xf>
    <xf numFmtId="1" fontId="33" fillId="0" borderId="28" xfId="0" applyNumberFormat="1" applyFont="1" applyBorder="1" applyAlignment="1">
      <alignment horizontal="center" wrapText="1"/>
    </xf>
    <xf numFmtId="1" fontId="33" fillId="0" borderId="28" xfId="0" applyNumberFormat="1" applyFont="1" applyBorder="1" applyAlignment="1">
      <alignment horizontal="right" wrapText="1"/>
    </xf>
    <xf numFmtId="0" fontId="33" fillId="0" borderId="29" xfId="0" applyFont="1" applyBorder="1"/>
    <xf numFmtId="1" fontId="33" fillId="0" borderId="28" xfId="0" applyNumberFormat="1" applyFont="1" applyBorder="1" applyAlignment="1">
      <alignment horizontal="center" vertical="center" wrapText="1"/>
    </xf>
    <xf numFmtId="178" fontId="33" fillId="0" borderId="29" xfId="0" applyNumberFormat="1" applyFont="1" applyBorder="1"/>
    <xf numFmtId="1" fontId="33" fillId="0" borderId="28" xfId="0" applyNumberFormat="1" applyFont="1" applyBorder="1" applyAlignment="1">
      <alignment horizontal="right"/>
    </xf>
    <xf numFmtId="0" fontId="48" fillId="0" borderId="28" xfId="0" applyFont="1" applyBorder="1" applyAlignment="1">
      <alignment horizontal="center" wrapText="1"/>
    </xf>
    <xf numFmtId="0" fontId="13" fillId="17" borderId="0" xfId="0" applyFont="1" applyFill="1" applyAlignment="1">
      <alignment horizontal="left"/>
    </xf>
    <xf numFmtId="0" fontId="16" fillId="5" borderId="28" xfId="0" applyFont="1" applyFill="1" applyBorder="1"/>
    <xf numFmtId="178" fontId="28" fillId="15" borderId="28" xfId="0" applyNumberFormat="1" applyFont="1" applyFill="1" applyBorder="1"/>
    <xf numFmtId="178" fontId="16" fillId="5" borderId="28" xfId="0" applyNumberFormat="1" applyFont="1" applyFill="1" applyBorder="1"/>
    <xf numFmtId="0" fontId="18" fillId="0" borderId="28" xfId="0" applyFont="1" applyBorder="1"/>
    <xf numFmtId="178" fontId="18" fillId="0" borderId="28" xfId="0" applyNumberFormat="1" applyFont="1" applyBorder="1"/>
    <xf numFmtId="0" fontId="34" fillId="0" borderId="28" xfId="0" applyFont="1" applyBorder="1" applyAlignment="1">
      <alignment horizontal="center"/>
    </xf>
    <xf numFmtId="0" fontId="46" fillId="20" borderId="0" xfId="0" applyFont="1" applyFill="1" applyAlignment="1">
      <alignment horizontal="center"/>
    </xf>
    <xf numFmtId="0" fontId="46" fillId="20" borderId="0" xfId="0" applyFont="1" applyFill="1"/>
    <xf numFmtId="0" fontId="48" fillId="0" borderId="28" xfId="0" applyFont="1" applyBorder="1" applyAlignment="1">
      <alignment horizontal="right" wrapText="1"/>
    </xf>
    <xf numFmtId="3" fontId="46" fillId="16" borderId="0" xfId="0" applyNumberFormat="1" applyFont="1" applyFill="1"/>
    <xf numFmtId="1" fontId="33" fillId="0" borderId="28" xfId="0" applyNumberFormat="1" applyFont="1" applyBorder="1" applyAlignment="1">
      <alignment horizontal="center"/>
    </xf>
    <xf numFmtId="0" fontId="34" fillId="17" borderId="0" xfId="0" applyFont="1" applyFill="1" applyAlignment="1">
      <alignment vertical="center"/>
    </xf>
    <xf numFmtId="0" fontId="29" fillId="17" borderId="0" xfId="0" applyFont="1" applyFill="1" applyAlignment="1">
      <alignment vertical="center"/>
    </xf>
    <xf numFmtId="0" fontId="34" fillId="17" borderId="0" xfId="0" applyFont="1" applyFill="1" applyAlignment="1">
      <alignment vertical="center" wrapText="1"/>
    </xf>
    <xf numFmtId="0" fontId="10" fillId="17" borderId="0" xfId="0" applyFont="1" applyFill="1" applyAlignment="1">
      <alignment vertical="center"/>
    </xf>
    <xf numFmtId="3" fontId="48" fillId="0" borderId="0" xfId="0" applyNumberFormat="1" applyFont="1" applyAlignment="1">
      <alignment horizontal="right"/>
    </xf>
    <xf numFmtId="3" fontId="46" fillId="0" borderId="0" xfId="0" applyNumberFormat="1" applyFont="1" applyAlignment="1">
      <alignment horizontal="right"/>
    </xf>
    <xf numFmtId="9" fontId="34" fillId="0" borderId="0" xfId="2" applyFont="1" applyFill="1" applyBorder="1"/>
    <xf numFmtId="0" fontId="48" fillId="0" borderId="30" xfId="0" applyFont="1" applyBorder="1"/>
    <xf numFmtId="0" fontId="48" fillId="0" borderId="30" xfId="0" applyFont="1" applyBorder="1" applyAlignment="1">
      <alignment horizontal="center"/>
    </xf>
    <xf numFmtId="0" fontId="48" fillId="0" borderId="30" xfId="0" applyFont="1" applyBorder="1" applyAlignment="1">
      <alignment horizontal="center" wrapText="1"/>
    </xf>
    <xf numFmtId="0" fontId="33" fillId="5" borderId="28" xfId="0" applyFont="1" applyFill="1" applyBorder="1"/>
    <xf numFmtId="1" fontId="33" fillId="5" borderId="28" xfId="0" applyNumberFormat="1" applyFont="1" applyFill="1" applyBorder="1"/>
    <xf numFmtId="0" fontId="70" fillId="0" borderId="21" xfId="3" applyFont="1" applyBorder="1"/>
    <xf numFmtId="37" fontId="71" fillId="0" borderId="0" xfId="0" applyNumberFormat="1" applyFont="1" applyAlignment="1">
      <alignment vertical="center"/>
    </xf>
    <xf numFmtId="0" fontId="79" fillId="0" borderId="0" xfId="0" applyFont="1"/>
    <xf numFmtId="0" fontId="72" fillId="0" borderId="0" xfId="4" applyFont="1"/>
    <xf numFmtId="181" fontId="73" fillId="0" borderId="0" xfId="0" applyNumberFormat="1" applyFont="1" applyAlignment="1">
      <alignment vertical="center"/>
    </xf>
    <xf numFmtId="37" fontId="74" fillId="0" borderId="0" xfId="0" applyNumberFormat="1" applyFont="1" applyAlignment="1">
      <alignment vertical="center"/>
    </xf>
    <xf numFmtId="37" fontId="75" fillId="0" borderId="0" xfId="0" applyNumberFormat="1" applyFont="1" applyAlignment="1">
      <alignment vertical="center"/>
    </xf>
    <xf numFmtId="37" fontId="76" fillId="0" borderId="0" xfId="0" applyNumberFormat="1" applyFont="1" applyAlignment="1">
      <alignment vertical="center"/>
    </xf>
    <xf numFmtId="182" fontId="75" fillId="0" borderId="0" xfId="0" applyNumberFormat="1" applyFont="1" applyAlignment="1">
      <alignment horizontal="right"/>
    </xf>
    <xf numFmtId="37" fontId="78" fillId="0" borderId="0" xfId="0" applyNumberFormat="1" applyFont="1" applyAlignment="1">
      <alignment vertical="center"/>
    </xf>
    <xf numFmtId="37" fontId="79" fillId="0" borderId="0" xfId="0" applyNumberFormat="1" applyFont="1" applyAlignment="1">
      <alignment vertical="center"/>
    </xf>
    <xf numFmtId="184" fontId="72" fillId="0" borderId="0" xfId="0" applyNumberFormat="1" applyFont="1" applyAlignment="1">
      <alignment horizontal="centerContinuous"/>
    </xf>
    <xf numFmtId="37" fontId="80" fillId="0" borderId="0" xfId="0" applyNumberFormat="1" applyFont="1" applyAlignment="1">
      <alignment horizontal="left" vertical="center" indent="1"/>
    </xf>
    <xf numFmtId="181" fontId="81" fillId="0" borderId="0" xfId="0" applyNumberFormat="1" applyFont="1" applyAlignment="1">
      <alignment vertical="center"/>
    </xf>
    <xf numFmtId="0" fontId="77" fillId="0" borderId="0" xfId="0" applyFont="1"/>
    <xf numFmtId="0" fontId="8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3" fillId="0" borderId="0" xfId="0" applyFont="1" applyAlignment="1">
      <alignment horizontal="center"/>
    </xf>
    <xf numFmtId="185" fontId="77" fillId="0" borderId="0" xfId="0" applyNumberFormat="1" applyFont="1" applyAlignment="1">
      <alignment horizontal="center"/>
    </xf>
    <xf numFmtId="185" fontId="84" fillId="0" borderId="0" xfId="0" applyNumberFormat="1" applyFont="1" applyAlignment="1">
      <alignment horizontal="center"/>
    </xf>
    <xf numFmtId="185" fontId="85" fillId="0" borderId="0" xfId="0" applyNumberFormat="1" applyFont="1" applyAlignment="1">
      <alignment horizontal="center"/>
    </xf>
    <xf numFmtId="181" fontId="34" fillId="0" borderId="0" xfId="0" applyNumberFormat="1" applyFont="1"/>
    <xf numFmtId="182" fontId="10" fillId="0" borderId="0" xfId="0" applyNumberFormat="1" applyFont="1"/>
    <xf numFmtId="181" fontId="74" fillId="0" borderId="0" xfId="0" applyNumberFormat="1" applyFont="1" applyAlignment="1">
      <alignment vertical="center"/>
    </xf>
    <xf numFmtId="37" fontId="75" fillId="0" borderId="0" xfId="0" applyNumberFormat="1" applyFont="1" applyAlignment="1">
      <alignment horizontal="right"/>
    </xf>
    <xf numFmtId="182" fontId="71" fillId="0" borderId="0" xfId="0" applyNumberFormat="1" applyFont="1" applyAlignment="1">
      <alignment vertical="center"/>
    </xf>
    <xf numFmtId="37" fontId="77" fillId="0" borderId="0" xfId="0" applyNumberFormat="1" applyFont="1" applyAlignment="1">
      <alignment horizontal="right"/>
    </xf>
    <xf numFmtId="183" fontId="10" fillId="0" borderId="0" xfId="0" applyNumberFormat="1" applyFont="1"/>
    <xf numFmtId="182" fontId="73" fillId="0" borderId="0" xfId="0" applyNumberFormat="1" applyFont="1" applyAlignment="1">
      <alignment horizontal="centerContinuous"/>
    </xf>
    <xf numFmtId="184" fontId="10" fillId="0" borderId="0" xfId="0" applyNumberFormat="1" applyFont="1"/>
    <xf numFmtId="0" fontId="71" fillId="0" borderId="0" xfId="0" applyFont="1" applyAlignment="1">
      <alignment vertical="center"/>
    </xf>
    <xf numFmtId="37" fontId="21" fillId="0" borderId="0" xfId="0" applyNumberFormat="1" applyFont="1" applyAlignment="1">
      <alignment horizontal="center"/>
    </xf>
    <xf numFmtId="0" fontId="75" fillId="0" borderId="0" xfId="0" applyFont="1" applyAlignment="1">
      <alignment horizontal="right"/>
    </xf>
    <xf numFmtId="0" fontId="77" fillId="0" borderId="0" xfId="0" applyFont="1" applyAlignment="1">
      <alignment horizontal="center"/>
    </xf>
    <xf numFmtId="185" fontId="71" fillId="0" borderId="0" xfId="0" applyNumberFormat="1" applyFont="1" applyAlignment="1">
      <alignment vertical="center"/>
    </xf>
    <xf numFmtId="37" fontId="84" fillId="0" borderId="0" xfId="0" applyNumberFormat="1" applyFont="1" applyAlignment="1">
      <alignment horizontal="center"/>
    </xf>
    <xf numFmtId="185" fontId="75" fillId="0" borderId="0" xfId="0" applyNumberFormat="1" applyFont="1" applyAlignment="1">
      <alignment horizontal="right"/>
    </xf>
    <xf numFmtId="0" fontId="85" fillId="0" borderId="0" xfId="0" applyFont="1" applyAlignment="1">
      <alignment horizontal="center"/>
    </xf>
    <xf numFmtId="185" fontId="10" fillId="0" borderId="0" xfId="0" applyNumberFormat="1" applyFont="1"/>
    <xf numFmtId="186" fontId="10" fillId="0" borderId="0" xfId="0" applyNumberFormat="1" applyFont="1"/>
    <xf numFmtId="0" fontId="87" fillId="21" borderId="0" xfId="0" applyFont="1" applyFill="1"/>
    <xf numFmtId="0" fontId="87" fillId="21" borderId="18" xfId="0" applyFont="1" applyFill="1" applyBorder="1"/>
    <xf numFmtId="37" fontId="41" fillId="17" borderId="0" xfId="0" applyNumberFormat="1" applyFont="1" applyFill="1" applyAlignment="1">
      <alignment horizontal="right"/>
    </xf>
    <xf numFmtId="0" fontId="33" fillId="5" borderId="0" xfId="0" applyFont="1" applyFill="1" applyAlignment="1">
      <alignment horizontal="left" indent="1"/>
    </xf>
    <xf numFmtId="0" fontId="34" fillId="5" borderId="0" xfId="0" applyFont="1" applyFill="1" applyAlignment="1">
      <alignment horizontal="left" indent="1"/>
    </xf>
    <xf numFmtId="37" fontId="41" fillId="5" borderId="0" xfId="0" applyNumberFormat="1" applyFont="1" applyFill="1" applyAlignment="1">
      <alignment horizontal="right"/>
    </xf>
    <xf numFmtId="37" fontId="43" fillId="4" borderId="0" xfId="0" applyNumberFormat="1" applyFont="1" applyFill="1" applyAlignment="1">
      <alignment horizontal="right"/>
    </xf>
    <xf numFmtId="0" fontId="87" fillId="19" borderId="0" xfId="0" applyFont="1" applyFill="1"/>
    <xf numFmtId="1" fontId="48" fillId="0" borderId="28" xfId="0" applyNumberFormat="1" applyFont="1" applyBorder="1" applyAlignment="1">
      <alignment horizontal="right"/>
    </xf>
    <xf numFmtId="1" fontId="33" fillId="0" borderId="0" xfId="0" applyNumberFormat="1" applyFont="1"/>
    <xf numFmtId="0" fontId="58" fillId="0" borderId="0" xfId="0" applyFont="1"/>
    <xf numFmtId="4" fontId="37" fillId="0" borderId="0" xfId="0" applyNumberFormat="1" applyFont="1" applyAlignment="1">
      <alignment horizontal="right"/>
    </xf>
    <xf numFmtId="172" fontId="37" fillId="0" borderId="0" xfId="2" applyNumberFormat="1" applyFont="1" applyFill="1" applyBorder="1" applyAlignment="1">
      <alignment horizontal="right"/>
    </xf>
    <xf numFmtId="37" fontId="37" fillId="8" borderId="31" xfId="0" applyNumberFormat="1" applyFont="1" applyFill="1" applyBorder="1" applyAlignment="1">
      <alignment horizontal="right"/>
    </xf>
    <xf numFmtId="37" fontId="37" fillId="0" borderId="31" xfId="0" applyNumberFormat="1" applyFont="1" applyBorder="1" applyAlignment="1">
      <alignment horizontal="right"/>
    </xf>
    <xf numFmtId="37" fontId="48" fillId="5" borderId="31" xfId="0" applyNumberFormat="1" applyFont="1" applyFill="1" applyBorder="1" applyAlignment="1">
      <alignment horizontal="right"/>
    </xf>
    <xf numFmtId="172" fontId="37" fillId="8" borderId="31" xfId="2" applyNumberFormat="1" applyFont="1" applyFill="1" applyBorder="1" applyAlignment="1">
      <alignment horizontal="center"/>
    </xf>
    <xf numFmtId="37" fontId="37" fillId="6" borderId="31" xfId="0" applyNumberFormat="1" applyFont="1" applyFill="1" applyBorder="1" applyAlignment="1">
      <alignment horizontal="right"/>
    </xf>
    <xf numFmtId="9" fontId="37" fillId="12" borderId="31" xfId="2" applyFont="1" applyFill="1" applyBorder="1" applyAlignment="1">
      <alignment horizontal="center"/>
    </xf>
    <xf numFmtId="172" fontId="37" fillId="0" borderId="31" xfId="2" applyNumberFormat="1" applyFont="1" applyFill="1" applyBorder="1" applyAlignment="1">
      <alignment horizontal="center"/>
    </xf>
    <xf numFmtId="172" fontId="48" fillId="5" borderId="31" xfId="2" applyNumberFormat="1" applyFont="1" applyFill="1" applyBorder="1" applyAlignment="1">
      <alignment horizontal="center"/>
    </xf>
    <xf numFmtId="9" fontId="48" fillId="5" borderId="31" xfId="2" applyFont="1" applyFill="1" applyBorder="1" applyAlignment="1">
      <alignment horizontal="center"/>
    </xf>
    <xf numFmtId="172" fontId="55" fillId="5" borderId="31" xfId="2" applyNumberFormat="1" applyFont="1" applyFill="1" applyBorder="1" applyAlignment="1">
      <alignment horizontal="center"/>
    </xf>
    <xf numFmtId="172" fontId="66" fillId="5" borderId="31" xfId="2" applyNumberFormat="1" applyFont="1" applyFill="1" applyBorder="1" applyAlignment="1">
      <alignment horizontal="center"/>
    </xf>
    <xf numFmtId="172" fontId="64" fillId="5" borderId="31" xfId="2" applyNumberFormat="1" applyFont="1" applyFill="1" applyBorder="1" applyAlignment="1">
      <alignment horizontal="center"/>
    </xf>
    <xf numFmtId="165" fontId="24" fillId="14" borderId="31" xfId="1" applyNumberFormat="1" applyFont="1" applyFill="1" applyBorder="1"/>
    <xf numFmtId="37" fontId="34" fillId="6" borderId="31" xfId="0" applyNumberFormat="1" applyFont="1" applyFill="1" applyBorder="1" applyAlignment="1">
      <alignment horizontal="right"/>
    </xf>
    <xf numFmtId="37" fontId="33" fillId="5" borderId="31" xfId="0" applyNumberFormat="1" applyFont="1" applyFill="1" applyBorder="1" applyAlignment="1">
      <alignment horizontal="right"/>
    </xf>
    <xf numFmtId="9" fontId="34" fillId="8" borderId="31" xfId="2" applyFont="1" applyFill="1" applyBorder="1" applyAlignment="1">
      <alignment horizontal="center"/>
    </xf>
    <xf numFmtId="37" fontId="34" fillId="8" borderId="31" xfId="0" applyNumberFormat="1" applyFont="1" applyFill="1" applyBorder="1" applyAlignment="1">
      <alignment horizontal="right"/>
    </xf>
    <xf numFmtId="0" fontId="62" fillId="0" borderId="31" xfId="0" applyFont="1" applyBorder="1"/>
    <xf numFmtId="37" fontId="33" fillId="5" borderId="31" xfId="0" applyNumberFormat="1" applyFont="1" applyFill="1" applyBorder="1" applyAlignment="1">
      <alignment horizontal="center"/>
    </xf>
    <xf numFmtId="37" fontId="33" fillId="4" borderId="31" xfId="0" applyNumberFormat="1" applyFont="1" applyFill="1" applyBorder="1" applyAlignment="1">
      <alignment horizontal="right"/>
    </xf>
    <xf numFmtId="0" fontId="62" fillId="4" borderId="0" xfId="0" applyFont="1" applyFill="1" applyAlignment="1">
      <alignment horizontal="right"/>
    </xf>
    <xf numFmtId="0" fontId="62" fillId="4" borderId="0" xfId="0" applyFont="1" applyFill="1"/>
    <xf numFmtId="37" fontId="37" fillId="8" borderId="31" xfId="0" applyNumberFormat="1" applyFont="1" applyFill="1" applyBorder="1" applyAlignment="1">
      <alignment horizontal="left"/>
    </xf>
    <xf numFmtId="9" fontId="37" fillId="8" borderId="31" xfId="2" applyFont="1" applyFill="1" applyBorder="1" applyAlignment="1">
      <alignment horizontal="right"/>
    </xf>
    <xf numFmtId="10" fontId="37" fillId="8" borderId="31" xfId="2" applyNumberFormat="1" applyFont="1" applyFill="1" applyBorder="1" applyAlignment="1">
      <alignment horizontal="right"/>
    </xf>
    <xf numFmtId="3" fontId="51" fillId="0" borderId="31" xfId="0" applyNumberFormat="1" applyFont="1" applyBorder="1" applyAlignment="1">
      <alignment horizontal="right"/>
    </xf>
    <xf numFmtId="4" fontId="37" fillId="8" borderId="31" xfId="0" applyNumberFormat="1" applyFont="1" applyFill="1" applyBorder="1" applyAlignment="1">
      <alignment horizontal="right"/>
    </xf>
    <xf numFmtId="172" fontId="37" fillId="8" borderId="31" xfId="2" applyNumberFormat="1" applyFont="1" applyFill="1" applyBorder="1" applyAlignment="1">
      <alignment horizontal="right"/>
    </xf>
    <xf numFmtId="3" fontId="37" fillId="0" borderId="31" xfId="0" applyNumberFormat="1" applyFont="1" applyBorder="1" applyAlignment="1">
      <alignment horizontal="right"/>
    </xf>
    <xf numFmtId="3" fontId="49" fillId="0" borderId="31" xfId="0" applyNumberFormat="1" applyFont="1" applyBorder="1" applyAlignment="1">
      <alignment horizontal="right"/>
    </xf>
    <xf numFmtId="3" fontId="48" fillId="5" borderId="31" xfId="0" applyNumberFormat="1" applyFont="1" applyFill="1" applyBorder="1" applyAlignment="1">
      <alignment horizontal="right"/>
    </xf>
    <xf numFmtId="3" fontId="37" fillId="8" borderId="31" xfId="0" applyNumberFormat="1" applyFont="1" applyFill="1" applyBorder="1" applyAlignment="1">
      <alignment horizontal="right"/>
    </xf>
    <xf numFmtId="37" fontId="34" fillId="8" borderId="33" xfId="0" applyNumberFormat="1" applyFont="1" applyFill="1" applyBorder="1" applyAlignment="1">
      <alignment horizontal="right"/>
    </xf>
    <xf numFmtId="37" fontId="34" fillId="0" borderId="31" xfId="0" applyNumberFormat="1" applyFont="1" applyBorder="1" applyAlignment="1">
      <alignment horizontal="right"/>
    </xf>
    <xf numFmtId="37" fontId="33" fillId="0" borderId="31" xfId="0" applyNumberFormat="1" applyFont="1" applyBorder="1" applyAlignment="1">
      <alignment horizontal="right"/>
    </xf>
    <xf numFmtId="39" fontId="34" fillId="0" borderId="31" xfId="0" applyNumberFormat="1" applyFont="1" applyBorder="1" applyAlignment="1">
      <alignment horizontal="right"/>
    </xf>
    <xf numFmtId="37" fontId="43" fillId="12" borderId="31" xfId="0" applyNumberFormat="1" applyFont="1" applyFill="1" applyBorder="1" applyAlignment="1">
      <alignment horizontal="center"/>
    </xf>
    <xf numFmtId="9" fontId="43" fillId="12" borderId="31" xfId="2" applyFont="1" applyFill="1" applyBorder="1" applyAlignment="1">
      <alignment horizontal="center"/>
    </xf>
    <xf numFmtId="1" fontId="33" fillId="12" borderId="31" xfId="2" applyNumberFormat="1" applyFont="1" applyFill="1" applyBorder="1" applyAlignment="1">
      <alignment horizontal="center"/>
    </xf>
    <xf numFmtId="1" fontId="33" fillId="12" borderId="32" xfId="2" applyNumberFormat="1" applyFont="1" applyFill="1" applyBorder="1" applyAlignment="1">
      <alignment horizontal="center"/>
    </xf>
    <xf numFmtId="37" fontId="41" fillId="0" borderId="31" xfId="0" applyNumberFormat="1" applyFont="1" applyBorder="1" applyAlignment="1">
      <alignment horizontal="right"/>
    </xf>
    <xf numFmtId="9" fontId="37" fillId="8" borderId="31" xfId="2" applyFont="1" applyFill="1" applyBorder="1" applyAlignment="1">
      <alignment horizontal="left"/>
    </xf>
    <xf numFmtId="9" fontId="37" fillId="8" borderId="31" xfId="2" applyFont="1" applyFill="1" applyBorder="1" applyAlignment="1">
      <alignment horizontal="center"/>
    </xf>
    <xf numFmtId="37" fontId="43" fillId="5" borderId="31" xfId="0" applyNumberFormat="1" applyFont="1" applyFill="1" applyBorder="1" applyAlignment="1">
      <alignment horizontal="right"/>
    </xf>
    <xf numFmtId="9" fontId="37" fillId="0" borderId="31" xfId="2" applyFont="1" applyBorder="1" applyAlignment="1">
      <alignment horizontal="center"/>
    </xf>
    <xf numFmtId="37" fontId="46" fillId="0" borderId="0" xfId="0" applyNumberFormat="1" applyFont="1" applyAlignment="1">
      <alignment horizontal="right"/>
    </xf>
    <xf numFmtId="172" fontId="34" fillId="0" borderId="0" xfId="2" applyNumberFormat="1" applyFont="1" applyFill="1" applyBorder="1" applyAlignment="1">
      <alignment horizontal="right"/>
    </xf>
    <xf numFmtId="37" fontId="34" fillId="18" borderId="31" xfId="0" applyNumberFormat="1" applyFont="1" applyFill="1" applyBorder="1" applyAlignment="1">
      <alignment horizontal="right"/>
    </xf>
    <xf numFmtId="37" fontId="34" fillId="5" borderId="31" xfId="0" applyNumberFormat="1" applyFont="1" applyFill="1" applyBorder="1" applyAlignment="1">
      <alignment horizontal="right"/>
    </xf>
    <xf numFmtId="172" fontId="34" fillId="8" borderId="31" xfId="2" applyNumberFormat="1" applyFont="1" applyFill="1" applyBorder="1" applyAlignment="1">
      <alignment horizontal="right"/>
    </xf>
    <xf numFmtId="37" fontId="41" fillId="5" borderId="31" xfId="0" applyNumberFormat="1" applyFont="1" applyFill="1" applyBorder="1" applyAlignment="1">
      <alignment horizontal="right"/>
    </xf>
    <xf numFmtId="37" fontId="37" fillId="5" borderId="31" xfId="0" applyNumberFormat="1" applyFont="1" applyFill="1" applyBorder="1" applyAlignment="1">
      <alignment horizontal="right"/>
    </xf>
    <xf numFmtId="37" fontId="43" fillId="4" borderId="31" xfId="0" applyNumberFormat="1" applyFont="1" applyFill="1" applyBorder="1" applyAlignment="1">
      <alignment horizontal="right"/>
    </xf>
    <xf numFmtId="37" fontId="48" fillId="4" borderId="31" xfId="0" applyNumberFormat="1" applyFont="1" applyFill="1" applyBorder="1" applyAlignment="1">
      <alignment horizontal="right"/>
    </xf>
    <xf numFmtId="165" fontId="34" fillId="0" borderId="0" xfId="1" applyNumberFormat="1" applyFont="1" applyFill="1" applyBorder="1"/>
    <xf numFmtId="38" fontId="34" fillId="0" borderId="0" xfId="0" applyNumberFormat="1" applyFont="1"/>
    <xf numFmtId="38" fontId="34" fillId="0" borderId="31" xfId="0" applyNumberFormat="1" applyFont="1" applyBorder="1"/>
    <xf numFmtId="9" fontId="34" fillId="0" borderId="31" xfId="2" applyFont="1" applyFill="1" applyBorder="1" applyAlignment="1">
      <alignment horizontal="right"/>
    </xf>
    <xf numFmtId="166" fontId="34" fillId="8" borderId="31" xfId="0" applyNumberFormat="1" applyFont="1" applyFill="1" applyBorder="1" applyAlignment="1">
      <alignment horizontal="right" vertical="center"/>
    </xf>
    <xf numFmtId="167" fontId="34" fillId="8" borderId="31" xfId="0" applyNumberFormat="1" applyFont="1" applyFill="1" applyBorder="1" applyAlignment="1">
      <alignment horizontal="right" vertical="center"/>
    </xf>
    <xf numFmtId="168" fontId="57" fillId="8" borderId="31" xfId="0" applyNumberFormat="1" applyFont="1" applyFill="1" applyBorder="1" applyAlignment="1">
      <alignment horizontal="right" vertical="center"/>
    </xf>
    <xf numFmtId="9" fontId="57" fillId="8" borderId="31" xfId="2" applyFont="1" applyFill="1" applyBorder="1" applyAlignment="1">
      <alignment horizontal="right" vertical="center"/>
    </xf>
    <xf numFmtId="168" fontId="34" fillId="0" borderId="31" xfId="0" applyNumberFormat="1" applyFont="1" applyBorder="1" applyAlignment="1">
      <alignment horizontal="right" vertical="center"/>
    </xf>
    <xf numFmtId="166" fontId="33" fillId="5" borderId="31" xfId="0" applyNumberFormat="1" applyFont="1" applyFill="1" applyBorder="1" applyAlignment="1">
      <alignment horizontal="right" vertical="center"/>
    </xf>
    <xf numFmtId="166" fontId="33" fillId="4" borderId="31" xfId="0" applyNumberFormat="1" applyFont="1" applyFill="1" applyBorder="1" applyAlignment="1">
      <alignment horizontal="right" vertical="center"/>
    </xf>
    <xf numFmtId="167" fontId="48" fillId="0" borderId="31" xfId="0" applyNumberFormat="1" applyFont="1" applyBorder="1" applyAlignment="1">
      <alignment horizontal="right" vertical="center"/>
    </xf>
    <xf numFmtId="166" fontId="48" fillId="3" borderId="31" xfId="0" applyNumberFormat="1" applyFont="1" applyFill="1" applyBorder="1" applyAlignment="1">
      <alignment horizontal="right" vertical="center"/>
    </xf>
    <xf numFmtId="177" fontId="37" fillId="0" borderId="31" xfId="0" applyNumberFormat="1" applyFont="1" applyBorder="1" applyAlignment="1">
      <alignment horizontal="right"/>
    </xf>
    <xf numFmtId="37" fontId="48" fillId="0" borderId="31" xfId="0" applyNumberFormat="1" applyFont="1" applyBorder="1" applyAlignment="1">
      <alignment horizontal="right"/>
    </xf>
    <xf numFmtId="37" fontId="37" fillId="0" borderId="31" xfId="0" applyNumberFormat="1" applyFont="1" applyBorder="1"/>
    <xf numFmtId="43" fontId="33" fillId="3" borderId="31" xfId="1" applyFont="1" applyFill="1" applyBorder="1" applyAlignment="1">
      <alignment horizontal="right" vertical="center"/>
    </xf>
    <xf numFmtId="0" fontId="34" fillId="9" borderId="31" xfId="0" applyFont="1" applyFill="1" applyBorder="1" applyAlignment="1">
      <alignment vertical="center"/>
    </xf>
    <xf numFmtId="173" fontId="34" fillId="11" borderId="31" xfId="0" applyNumberFormat="1" applyFont="1" applyFill="1" applyBorder="1" applyAlignment="1">
      <alignment vertical="center" wrapText="1"/>
    </xf>
    <xf numFmtId="174" fontId="34" fillId="11" borderId="31" xfId="1" applyNumberFormat="1" applyFont="1" applyFill="1" applyBorder="1" applyAlignment="1">
      <alignment vertical="center" wrapText="1"/>
    </xf>
    <xf numFmtId="173" fontId="34" fillId="9" borderId="31" xfId="0" applyNumberFormat="1" applyFont="1" applyFill="1" applyBorder="1" applyAlignment="1">
      <alignment vertical="center" wrapText="1"/>
    </xf>
    <xf numFmtId="175" fontId="34" fillId="9" borderId="31" xfId="0" applyNumberFormat="1" applyFont="1" applyFill="1" applyBorder="1" applyAlignment="1">
      <alignment horizontal="right" vertical="center" wrapText="1"/>
    </xf>
    <xf numFmtId="0" fontId="34" fillId="5" borderId="31" xfId="0" applyFont="1" applyFill="1" applyBorder="1" applyAlignment="1">
      <alignment vertical="center"/>
    </xf>
    <xf numFmtId="0" fontId="34" fillId="5" borderId="31" xfId="0" applyFont="1" applyFill="1" applyBorder="1" applyAlignment="1">
      <alignment vertical="center" wrapText="1"/>
    </xf>
    <xf numFmtId="173" fontId="34" fillId="5" borderId="31" xfId="0" applyNumberFormat="1" applyFont="1" applyFill="1" applyBorder="1" applyAlignment="1">
      <alignment vertical="center" wrapText="1"/>
    </xf>
    <xf numFmtId="43" fontId="34" fillId="5" borderId="31" xfId="0" applyNumberFormat="1" applyFont="1" applyFill="1" applyBorder="1" applyAlignment="1">
      <alignment vertical="center" wrapText="1"/>
    </xf>
    <xf numFmtId="173" fontId="34" fillId="5" borderId="31" xfId="0" applyNumberFormat="1" applyFont="1" applyFill="1" applyBorder="1" applyAlignment="1">
      <alignment vertical="center"/>
    </xf>
    <xf numFmtId="175" fontId="34" fillId="5" borderId="31" xfId="0" applyNumberFormat="1" applyFont="1" applyFill="1" applyBorder="1" applyAlignment="1">
      <alignment vertical="center"/>
    </xf>
    <xf numFmtId="176" fontId="34" fillId="5" borderId="31" xfId="0" applyNumberFormat="1" applyFont="1" applyFill="1" applyBorder="1" applyAlignment="1">
      <alignment vertical="center"/>
    </xf>
    <xf numFmtId="0" fontId="33" fillId="5" borderId="31" xfId="0" applyFont="1" applyFill="1" applyBorder="1" applyAlignment="1">
      <alignment vertical="center"/>
    </xf>
    <xf numFmtId="0" fontId="33" fillId="5" borderId="31" xfId="0" applyFont="1" applyFill="1" applyBorder="1" applyAlignment="1">
      <alignment vertical="center" wrapText="1"/>
    </xf>
    <xf numFmtId="175" fontId="33" fillId="5" borderId="31" xfId="0" applyNumberFormat="1" applyFont="1" applyFill="1" applyBorder="1" applyAlignment="1">
      <alignment vertical="center"/>
    </xf>
    <xf numFmtId="173" fontId="33" fillId="5" borderId="31" xfId="0" applyNumberFormat="1" applyFont="1" applyFill="1" applyBorder="1" applyAlignment="1">
      <alignment vertical="center"/>
    </xf>
    <xf numFmtId="0" fontId="46" fillId="16" borderId="31" xfId="0" applyFont="1" applyFill="1" applyBorder="1" applyAlignment="1">
      <alignment vertical="center"/>
    </xf>
    <xf numFmtId="0" fontId="46" fillId="16" borderId="31" xfId="0" applyFont="1" applyFill="1" applyBorder="1" applyAlignment="1">
      <alignment vertical="center" wrapText="1"/>
    </xf>
    <xf numFmtId="173" fontId="46" fillId="16" borderId="31" xfId="0" applyNumberFormat="1" applyFont="1" applyFill="1" applyBorder="1" applyAlignment="1">
      <alignment vertical="center"/>
    </xf>
    <xf numFmtId="165" fontId="17" fillId="0" borderId="31" xfId="1" applyNumberFormat="1" applyFont="1" applyFill="1" applyBorder="1" applyAlignment="1">
      <alignment horizontal="right"/>
    </xf>
    <xf numFmtId="9" fontId="17" fillId="0" borderId="31" xfId="2" applyFont="1" applyFill="1" applyBorder="1" applyAlignment="1">
      <alignment horizontal="right"/>
    </xf>
    <xf numFmtId="43" fontId="17" fillId="0" borderId="31" xfId="1" applyFont="1" applyFill="1" applyBorder="1" applyAlignment="1">
      <alignment horizontal="right"/>
    </xf>
    <xf numFmtId="37" fontId="33" fillId="18" borderId="34" xfId="0" applyNumberFormat="1" applyFont="1" applyFill="1" applyBorder="1" applyAlignment="1">
      <alignment horizontal="right"/>
    </xf>
    <xf numFmtId="37" fontId="34" fillId="6" borderId="35" xfId="0" applyNumberFormat="1" applyFont="1" applyFill="1" applyBorder="1" applyAlignment="1">
      <alignment horizontal="right"/>
    </xf>
    <xf numFmtId="0" fontId="33" fillId="8" borderId="31" xfId="0" applyFont="1" applyFill="1" applyBorder="1" applyAlignment="1">
      <alignment horizontal="center"/>
    </xf>
    <xf numFmtId="0" fontId="34" fillId="8" borderId="31" xfId="0" applyFont="1" applyFill="1" applyBorder="1" applyAlignment="1">
      <alignment horizontal="center"/>
    </xf>
    <xf numFmtId="1" fontId="34" fillId="8" borderId="31" xfId="0" applyNumberFormat="1" applyFont="1" applyFill="1" applyBorder="1" applyAlignment="1">
      <alignment horizontal="center"/>
    </xf>
    <xf numFmtId="9" fontId="34" fillId="6" borderId="31" xfId="2" applyFont="1" applyFill="1" applyBorder="1" applyAlignment="1">
      <alignment horizontal="center"/>
    </xf>
    <xf numFmtId="172" fontId="34" fillId="6" borderId="31" xfId="2" applyNumberFormat="1" applyFont="1" applyFill="1" applyBorder="1" applyAlignment="1">
      <alignment horizontal="center"/>
    </xf>
    <xf numFmtId="9" fontId="34" fillId="0" borderId="31" xfId="2" applyFont="1" applyFill="1" applyBorder="1" applyAlignment="1">
      <alignment horizontal="center"/>
    </xf>
    <xf numFmtId="37" fontId="37" fillId="0" borderId="36" xfId="0" applyNumberFormat="1" applyFont="1" applyBorder="1" applyAlignment="1">
      <alignment horizontal="right"/>
    </xf>
    <xf numFmtId="37" fontId="44" fillId="8" borderId="31" xfId="0" applyNumberFormat="1" applyFont="1" applyFill="1" applyBorder="1" applyAlignment="1">
      <alignment horizontal="right"/>
    </xf>
    <xf numFmtId="37" fontId="44" fillId="0" borderId="31" xfId="0" applyNumberFormat="1" applyFont="1" applyBorder="1" applyAlignment="1">
      <alignment horizontal="right"/>
    </xf>
    <xf numFmtId="37" fontId="34" fillId="5" borderId="31" xfId="0" applyNumberFormat="1" applyFont="1" applyFill="1" applyBorder="1"/>
    <xf numFmtId="37" fontId="34" fillId="0" borderId="31" xfId="0" applyNumberFormat="1" applyFont="1" applyBorder="1"/>
    <xf numFmtId="37" fontId="33" fillId="0" borderId="31" xfId="0" applyNumberFormat="1" applyFont="1" applyBorder="1"/>
    <xf numFmtId="37" fontId="34" fillId="8" borderId="31" xfId="0" applyNumberFormat="1" applyFont="1" applyFill="1" applyBorder="1"/>
    <xf numFmtId="3" fontId="36" fillId="0" borderId="31" xfId="0" applyNumberFormat="1" applyFont="1" applyBorder="1" applyAlignment="1">
      <alignment horizontal="right"/>
    </xf>
    <xf numFmtId="3" fontId="36" fillId="0" borderId="31" xfId="0" applyNumberFormat="1" applyFont="1" applyBorder="1" applyAlignment="1">
      <alignment horizontal="center"/>
    </xf>
    <xf numFmtId="172" fontId="34" fillId="0" borderId="31" xfId="2" applyNumberFormat="1" applyFont="1" applyFill="1" applyBorder="1" applyAlignment="1">
      <alignment horizontal="right" vertical="center"/>
    </xf>
    <xf numFmtId="9" fontId="34" fillId="0" borderId="31" xfId="2" applyFont="1" applyFill="1" applyBorder="1" applyAlignment="1">
      <alignment horizontal="right" vertical="center"/>
    </xf>
    <xf numFmtId="165" fontId="34" fillId="0" borderId="31" xfId="1" applyNumberFormat="1" applyFont="1" applyFill="1" applyBorder="1" applyAlignment="1">
      <alignment horizontal="right" vertical="center"/>
    </xf>
    <xf numFmtId="165" fontId="34" fillId="0" borderId="31" xfId="1" applyNumberFormat="1" applyFont="1" applyFill="1" applyBorder="1" applyAlignment="1">
      <alignment horizontal="right"/>
    </xf>
    <xf numFmtId="43" fontId="34" fillId="0" borderId="31" xfId="1" applyFont="1" applyFill="1" applyBorder="1" applyAlignment="1">
      <alignment horizontal="right"/>
    </xf>
    <xf numFmtId="0" fontId="34" fillId="5" borderId="0" xfId="0" applyFont="1" applyFill="1" applyAlignment="1">
      <alignment vertical="center"/>
    </xf>
    <xf numFmtId="0" fontId="88" fillId="0" borderId="0" xfId="0" applyFont="1" applyAlignment="1">
      <alignment horizontal="center"/>
    </xf>
    <xf numFmtId="0" fontId="89" fillId="0" borderId="0" xfId="0" applyFont="1"/>
    <xf numFmtId="178" fontId="48" fillId="0" borderId="0" xfId="0" applyNumberFormat="1" applyFont="1"/>
    <xf numFmtId="0" fontId="89" fillId="0" borderId="0" xfId="0" applyFont="1" applyAlignment="1">
      <alignment horizontal="center"/>
    </xf>
    <xf numFmtId="44" fontId="89" fillId="0" borderId="0" xfId="0" applyNumberFormat="1" applyFont="1"/>
    <xf numFmtId="44" fontId="37" fillId="0" borderId="0" xfId="0" applyNumberFormat="1" applyFont="1"/>
    <xf numFmtId="180" fontId="37" fillId="0" borderId="0" xfId="0" applyNumberFormat="1" applyFont="1"/>
    <xf numFmtId="9" fontId="37" fillId="0" borderId="0" xfId="0" applyNumberFormat="1" applyFont="1"/>
    <xf numFmtId="0" fontId="17" fillId="0" borderId="0" xfId="0" applyFont="1" applyAlignment="1">
      <alignment horizontal="center"/>
    </xf>
    <xf numFmtId="0" fontId="34" fillId="16" borderId="0" xfId="0" applyFont="1" applyFill="1"/>
    <xf numFmtId="0" fontId="10" fillId="16" borderId="0" xfId="0" applyFont="1" applyFill="1"/>
    <xf numFmtId="9" fontId="42" fillId="8" borderId="31" xfId="2" applyFont="1" applyFill="1" applyBorder="1" applyAlignment="1">
      <alignment horizontal="center"/>
    </xf>
    <xf numFmtId="0" fontId="90" fillId="0" borderId="0" xfId="0" applyFont="1"/>
    <xf numFmtId="0" fontId="48" fillId="0" borderId="8" xfId="0" applyFont="1" applyBorder="1" applyAlignment="1">
      <alignment horizontal="center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 wrapText="1"/>
    </xf>
    <xf numFmtId="3" fontId="91" fillId="0" borderId="31" xfId="0" applyNumberFormat="1" applyFont="1" applyBorder="1" applyAlignment="1">
      <alignment horizontal="right"/>
    </xf>
    <xf numFmtId="172" fontId="91" fillId="0" borderId="31" xfId="2" applyNumberFormat="1" applyFont="1" applyFill="1" applyBorder="1" applyAlignment="1">
      <alignment horizontal="right"/>
    </xf>
    <xf numFmtId="166" fontId="92" fillId="14" borderId="13" xfId="0" applyNumberFormat="1" applyFont="1" applyFill="1" applyBorder="1" applyAlignment="1">
      <alignment horizontal="right" vertical="center"/>
    </xf>
    <xf numFmtId="166" fontId="92" fillId="14" borderId="14" xfId="0" applyNumberFormat="1" applyFont="1" applyFill="1" applyBorder="1" applyAlignment="1">
      <alignment horizontal="right" vertical="center"/>
    </xf>
  </cellXfs>
  <cellStyles count="6">
    <cellStyle name="Comma" xfId="1" builtinId="3"/>
    <cellStyle name="Hyperlink" xfId="3" builtinId="8"/>
    <cellStyle name="Normal" xfId="0" builtinId="0"/>
    <cellStyle name="Normal 2" xfId="5" xr:uid="{6FC5953D-3669-0A4A-8D36-0F6C615E7332}"/>
    <cellStyle name="Normal 2 2 2" xfId="4" xr:uid="{3268B250-0FE8-9B41-9634-99C0EA728BCA}"/>
    <cellStyle name="Per cent" xfId="2" builtinId="5"/>
  </cellStyles>
  <dxfs count="0"/>
  <tableStyles count="0" defaultTableStyle="TableStyleMedium2" defaultPivotStyle="PivotStyleLight16"/>
  <colors>
    <mruColors>
      <color rgb="FF0060A8"/>
      <color rgb="FFE5FAFF"/>
      <color rgb="FFB3F1FF"/>
      <color rgb="FFB5F5F3"/>
      <color rgb="FFE26B09"/>
      <color rgb="FFFFFFE8"/>
      <color rgb="FF00FF99"/>
      <color rgb="FF004F8A"/>
      <color rgb="FF00CCFF"/>
      <color rgb="FF00A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RAP!$B$8</c:f>
              <c:strCache>
                <c:ptCount val="1"/>
                <c:pt idx="0">
                  <c:v>Gross profit margin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RAP!$C$8:$N$8</c:f>
              <c:numCache>
                <c:formatCode>0%</c:formatCode>
                <c:ptCount val="12"/>
                <c:pt idx="0">
                  <c:v>0.32118965517241388</c:v>
                </c:pt>
                <c:pt idx="1">
                  <c:v>0.31660213532287118</c:v>
                </c:pt>
                <c:pt idx="2">
                  <c:v>0.31387258924907663</c:v>
                </c:pt>
                <c:pt idx="3">
                  <c:v>0.31206236137177945</c:v>
                </c:pt>
                <c:pt idx="4">
                  <c:v>0.31077394859813062</c:v>
                </c:pt>
                <c:pt idx="5">
                  <c:v>0.30981554761296914</c:v>
                </c:pt>
                <c:pt idx="6">
                  <c:v>0.30907142857142855</c:v>
                </c:pt>
                <c:pt idx="7">
                  <c:v>0.30847695288598809</c:v>
                </c:pt>
                <c:pt idx="8">
                  <c:v>0.30799110452186795</c:v>
                </c:pt>
                <c:pt idx="9">
                  <c:v>0.30758660213958228</c:v>
                </c:pt>
                <c:pt idx="10">
                  <c:v>0.30724459417110633</c:v>
                </c:pt>
                <c:pt idx="11">
                  <c:v>0.30695163636363615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47-41FF-B20A-CFB7D3BE2C68}"/>
            </c:ext>
          </c:extLst>
        </c:ser>
        <c:ser>
          <c:idx val="1"/>
          <c:order val="1"/>
          <c:tx>
            <c:strRef>
              <c:f>RAP!$B$9</c:f>
              <c:strCache>
                <c:ptCount val="1"/>
                <c:pt idx="0">
                  <c:v>EBITDA margin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RAP!$C$9:$N$9</c:f>
              <c:numCache>
                <c:formatCode>0%</c:formatCode>
                <c:ptCount val="12"/>
                <c:pt idx="0">
                  <c:v>-3.970559567121521</c:v>
                </c:pt>
                <c:pt idx="1">
                  <c:v>-2.9007520207389512</c:v>
                </c:pt>
                <c:pt idx="2">
                  <c:v>-2.2642231154231016</c:v>
                </c:pt>
                <c:pt idx="3">
                  <c:v>-1.8420787962006635</c:v>
                </c:pt>
                <c:pt idx="4">
                  <c:v>-1.5416215222681053</c:v>
                </c:pt>
                <c:pt idx="5">
                  <c:v>-1.317057878707103</c:v>
                </c:pt>
                <c:pt idx="6">
                  <c:v>-1.1427027958152962</c:v>
                </c:pt>
                <c:pt idx="7">
                  <c:v>-1.0034107583510481</c:v>
                </c:pt>
                <c:pt idx="8">
                  <c:v>-0.89012723625739842</c:v>
                </c:pt>
                <c:pt idx="9">
                  <c:v>-0.79479201655538356</c:v>
                </c:pt>
                <c:pt idx="10">
                  <c:v>-0.71465587655035823</c:v>
                </c:pt>
                <c:pt idx="11">
                  <c:v>-0.64601271604278121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7-41FF-B20A-CFB7D3BE2C68}"/>
            </c:ext>
          </c:extLst>
        </c:ser>
        <c:ser>
          <c:idx val="2"/>
          <c:order val="2"/>
          <c:tx>
            <c:strRef>
              <c:f>RAP!$B$10</c:f>
              <c:strCache>
                <c:ptCount val="1"/>
                <c:pt idx="0">
                  <c:v>Net profit rate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RAP!$C$10:$N$10</c:f>
              <c:numCache>
                <c:formatCode>0%</c:formatCode>
                <c:ptCount val="12"/>
                <c:pt idx="0">
                  <c:v>-6.8466158889606019</c:v>
                </c:pt>
                <c:pt idx="1">
                  <c:v>-5.0465105320158568</c:v>
                </c:pt>
                <c:pt idx="2">
                  <c:v>-3.9754589244779508</c:v>
                </c:pt>
                <c:pt idx="3">
                  <c:v>-2.55422632506377</c:v>
                </c:pt>
                <c:pt idx="4">
                  <c:v>-2.151127460741626</c:v>
                </c:pt>
                <c:pt idx="5">
                  <c:v>-1.8498504070025674</c:v>
                </c:pt>
                <c:pt idx="6">
                  <c:v>-1.6159337104033535</c:v>
                </c:pt>
                <c:pt idx="7">
                  <c:v>-1.429057981139817</c:v>
                </c:pt>
                <c:pt idx="8">
                  <c:v>-1.2768856375423008</c:v>
                </c:pt>
                <c:pt idx="9">
                  <c:v>-1.1491727829560174</c:v>
                </c:pt>
                <c:pt idx="10">
                  <c:v>-1.0416612562641365</c:v>
                </c:pt>
                <c:pt idx="11">
                  <c:v>-0.9495688372549026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47-41FF-B20A-CFB7D3BE2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752064"/>
        <c:axId val="191753600"/>
      </c:lineChart>
      <c:dateAx>
        <c:axId val="191752064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53600"/>
        <c:crosses val="autoZero"/>
        <c:auto val="1"/>
        <c:lblOffset val="100"/>
        <c:baseTimeUnit val="days"/>
      </c:dateAx>
      <c:valAx>
        <c:axId val="19175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5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RAP!$B$27</c:f>
              <c:strCache>
                <c:ptCount val="1"/>
                <c:pt idx="0">
                  <c:v>Current ratio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RAP!$C$23:$N$23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RAP!$C$27:$N$27</c:f>
              <c:numCache>
                <c:formatCode>_(* #,##0.00_);_(* \(#,##0.00\);_(* "-"??_);_(@_)</c:formatCode>
                <c:ptCount val="12"/>
                <c:pt idx="0">
                  <c:v>3062.9851942397431</c:v>
                </c:pt>
                <c:pt idx="1">
                  <c:v>2255.6952040225224</c:v>
                </c:pt>
                <c:pt idx="2">
                  <c:v>1580.3059768181186</c:v>
                </c:pt>
                <c:pt idx="3">
                  <c:v>-328.20194614435411</c:v>
                </c:pt>
                <c:pt idx="4">
                  <c:v>-634.78853065033684</c:v>
                </c:pt>
                <c:pt idx="5">
                  <c:v>-897.72691324631569</c:v>
                </c:pt>
                <c:pt idx="6">
                  <c:v>-1124.7642638773114</c:v>
                </c:pt>
                <c:pt idx="7">
                  <c:v>-1321.9317447758235</c:v>
                </c:pt>
                <c:pt idx="8">
                  <c:v>-1494.0867529206455</c:v>
                </c:pt>
                <c:pt idx="9">
                  <c:v>-1644.8076011457083</c:v>
                </c:pt>
                <c:pt idx="10">
                  <c:v>-1777.2726034424838</c:v>
                </c:pt>
                <c:pt idx="11">
                  <c:v>-1893.9873924901453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A9-4A4D-9F53-875D78F8F350}"/>
            </c:ext>
          </c:extLst>
        </c:ser>
        <c:ser>
          <c:idx val="1"/>
          <c:order val="1"/>
          <c:tx>
            <c:strRef>
              <c:f>RAP!$B$28</c:f>
              <c:strCache>
                <c:ptCount val="1"/>
                <c:pt idx="0">
                  <c:v>Cash ratio</c:v>
                </c:pt>
              </c:strCache>
            </c:strRef>
          </c:tx>
          <c:spPr>
            <a:ln w="28575" cap="rnd">
              <a:solidFill>
                <a:srgbClr val="00FF99"/>
              </a:solidFill>
              <a:round/>
            </a:ln>
            <a:effectLst/>
          </c:spPr>
          <c:marker>
            <c:symbol val="none"/>
          </c:marker>
          <c:cat>
            <c:numRef>
              <c:f>RAP!$C$23:$N$23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RAP!$C$28:$N$28</c:f>
              <c:numCache>
                <c:formatCode>_(* #,##0.00_);_(* \(#,##0.00\);_(* "-"??_);_(@_)</c:formatCode>
                <c:ptCount val="12"/>
                <c:pt idx="0">
                  <c:v>3062.3812798466797</c:v>
                </c:pt>
                <c:pt idx="1">
                  <c:v>2254.95257510693</c:v>
                </c:pt>
                <c:pt idx="2">
                  <c:v>1579.4462362498825</c:v>
                </c:pt>
                <c:pt idx="3">
                  <c:v>-329.16187744363566</c:v>
                </c:pt>
                <c:pt idx="4">
                  <c:v>-635.83515191637468</c:v>
                </c:pt>
                <c:pt idx="5">
                  <c:v>-898.84920843681095</c:v>
                </c:pt>
                <c:pt idx="6">
                  <c:v>-1125.9532550629822</c:v>
                </c:pt>
                <c:pt idx="7">
                  <c:v>-1323.1799622667081</c:v>
                </c:pt>
                <c:pt idx="8">
                  <c:v>-1495.3879153471532</c:v>
                </c:pt>
                <c:pt idx="9">
                  <c:v>-1646.1563760922695</c:v>
                </c:pt>
                <c:pt idx="10">
                  <c:v>-1778.6644254618211</c:v>
                </c:pt>
                <c:pt idx="11">
                  <c:v>-1895.4183227470785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A9-4A4D-9F53-875D78F8F350}"/>
            </c:ext>
          </c:extLst>
        </c:ser>
        <c:ser>
          <c:idx val="2"/>
          <c:order val="2"/>
          <c:tx>
            <c:strRef>
              <c:f>RAP!$B$29</c:f>
              <c:strCache>
                <c:ptCount val="1"/>
                <c:pt idx="0">
                  <c:v>Quick ratio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RAP!$C$23:$N$23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RAP!$C$29:$N$29</c:f>
              <c:numCache>
                <c:formatCode>_(* #,##0.00_);_(* \(#,##0.00\);_(* "-"??_);_(@_)</c:formatCode>
                <c:ptCount val="12"/>
                <c:pt idx="0">
                  <c:v>3062.7001829181645</c:v>
                </c:pt>
                <c:pt idx="1">
                  <c:v>2255.3439206322137</c:v>
                </c:pt>
                <c:pt idx="2">
                  <c:v>1579.8987423179219</c:v>
                </c:pt>
                <c:pt idx="3">
                  <c:v>-328.65704763708288</c:v>
                </c:pt>
                <c:pt idx="4">
                  <c:v>-635.28504902812085</c:v>
                </c:pt>
                <c:pt idx="5">
                  <c:v>-898.25958429985178</c:v>
                </c:pt>
                <c:pt idx="6">
                  <c:v>-1125.3287984651472</c:v>
                </c:pt>
                <c:pt idx="7">
                  <c:v>-1322.5245743070466</c:v>
                </c:pt>
                <c:pt idx="8">
                  <c:v>-1494.7048765158941</c:v>
                </c:pt>
                <c:pt idx="9">
                  <c:v>-1645.4484712816122</c:v>
                </c:pt>
                <c:pt idx="10">
                  <c:v>-1777.934039009285</c:v>
                </c:pt>
                <c:pt idx="11">
                  <c:v>-1894.6675117375298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A9-4A4D-9F53-875D78F8F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112512"/>
        <c:axId val="192114048"/>
      </c:lineChart>
      <c:dateAx>
        <c:axId val="192112512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14048"/>
        <c:crosses val="autoZero"/>
        <c:auto val="1"/>
        <c:lblOffset val="100"/>
        <c:baseTimeUnit val="days"/>
      </c:dateAx>
      <c:valAx>
        <c:axId val="192114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1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RAP!$B$40</c:f>
              <c:strCache>
                <c:ptCount val="1"/>
                <c:pt idx="0">
                  <c:v>Salaries to Revenue</c:v>
                </c:pt>
              </c:strCache>
            </c:strRef>
          </c:tx>
          <c:spPr>
            <a:ln w="28575" cap="rnd">
              <a:solidFill>
                <a:srgbClr val="0060A8"/>
              </a:solidFill>
              <a:round/>
            </a:ln>
            <a:effectLst/>
          </c:spPr>
          <c:marker>
            <c:symbol val="none"/>
          </c:marker>
          <c:cat>
            <c:numRef>
              <c:f>RAP!$C$36:$N$36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RAP!$C$40:$N$40</c:f>
              <c:numCache>
                <c:formatCode>0%</c:formatCode>
                <c:ptCount val="12"/>
                <c:pt idx="0">
                  <c:v>3.6436193103448287</c:v>
                </c:pt>
                <c:pt idx="1">
                  <c:v>2.7184193465397488</c:v>
                </c:pt>
                <c:pt idx="2">
                  <c:v>2.16793106278211</c:v>
                </c:pt>
                <c:pt idx="3">
                  <c:v>1.8028486606381171</c:v>
                </c:pt>
                <c:pt idx="4">
                  <c:v>1.5430046728971969</c:v>
                </c:pt>
                <c:pt idx="5">
                  <c:v>1.348799591524126</c:v>
                </c:pt>
                <c:pt idx="6">
                  <c:v>1.1980154195011341</c:v>
                </c:pt>
                <c:pt idx="7">
                  <c:v>1.0775541505200901</c:v>
                </c:pt>
                <c:pt idx="8">
                  <c:v>0.97910452186805075</c:v>
                </c:pt>
                <c:pt idx="9">
                  <c:v>0.89713839361521508</c:v>
                </c:pt>
                <c:pt idx="10">
                  <c:v>0.8278357881541839</c:v>
                </c:pt>
                <c:pt idx="11">
                  <c:v>0.7684724363636366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70-428A-B842-8259CDA3975D}"/>
            </c:ext>
          </c:extLst>
        </c:ser>
        <c:ser>
          <c:idx val="1"/>
          <c:order val="1"/>
          <c:tx>
            <c:strRef>
              <c:f>RAP!$B$41</c:f>
              <c:strCache>
                <c:ptCount val="1"/>
                <c:pt idx="0">
                  <c:v>Overhead in revenue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RAP!$C$36:$N$36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RAP!$C$41:$N$41</c:f>
              <c:numCache>
                <c:formatCode>0%</c:formatCode>
                <c:ptCount val="12"/>
                <c:pt idx="0">
                  <c:v>4.2898418808777441</c:v>
                </c:pt>
                <c:pt idx="1">
                  <c:v>3.2154400682929118</c:v>
                </c:pt>
                <c:pt idx="2">
                  <c:v>2.5761776028649241</c:v>
                </c:pt>
                <c:pt idx="3">
                  <c:v>2.1522203936653694</c:v>
                </c:pt>
                <c:pt idx="4">
                  <c:v>1.8504728122344951</c:v>
                </c:pt>
                <c:pt idx="5">
                  <c:v>1.624949358275118</c:v>
                </c:pt>
                <c:pt idx="6">
                  <c:v>1.4498490620490623</c:v>
                </c:pt>
                <c:pt idx="7">
                  <c:v>1.3099616746704246</c:v>
                </c:pt>
                <c:pt idx="8">
                  <c:v>1.1956356223465197</c:v>
                </c:pt>
                <c:pt idx="9">
                  <c:v>1.1004512727890214</c:v>
                </c:pt>
                <c:pt idx="10">
                  <c:v>1.0199726218626253</c:v>
                </c:pt>
                <c:pt idx="11">
                  <c:v>0.95103607272727297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26-4F1B-AC58-9A45918D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054016"/>
        <c:axId val="192055552"/>
      </c:lineChart>
      <c:dateAx>
        <c:axId val="192054016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55552"/>
        <c:crosses val="autoZero"/>
        <c:auto val="1"/>
        <c:lblOffset val="100"/>
        <c:baseTimeUnit val="days"/>
      </c:dateAx>
      <c:valAx>
        <c:axId val="19205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5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RAP!$B$54</c:f>
              <c:strCache>
                <c:ptCount val="1"/>
                <c:pt idx="0">
                  <c:v>Days sales outstanding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RAP!$C$52:$N$52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RAP!$C$54:$N$54</c:f>
              <c:numCache>
                <c:formatCode>_(* #\ ##0_);_(* \(#\ ##0\);_(* "-"??_);_(@_)</c:formatCode>
                <c:ptCount val="12"/>
                <c:pt idx="0">
                  <c:v>1.3134469696969697</c:v>
                </c:pt>
                <c:pt idx="1">
                  <c:v>1.3134469696969697</c:v>
                </c:pt>
                <c:pt idx="2">
                  <c:v>1.3134469696969697</c:v>
                </c:pt>
                <c:pt idx="3">
                  <c:v>1.3134469696969697</c:v>
                </c:pt>
                <c:pt idx="4">
                  <c:v>1.3134469696969697</c:v>
                </c:pt>
                <c:pt idx="5">
                  <c:v>1.3134469696969697</c:v>
                </c:pt>
                <c:pt idx="6">
                  <c:v>1.3134469696969697</c:v>
                </c:pt>
                <c:pt idx="7">
                  <c:v>1.3134469696969697</c:v>
                </c:pt>
                <c:pt idx="8">
                  <c:v>1.3134469696969697</c:v>
                </c:pt>
                <c:pt idx="9">
                  <c:v>1.3134469696969697</c:v>
                </c:pt>
                <c:pt idx="10">
                  <c:v>1.3134469696969697</c:v>
                </c:pt>
                <c:pt idx="11">
                  <c:v>1.3134469696969697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A9-4B3B-BA4D-136BA156EE82}"/>
            </c:ext>
          </c:extLst>
        </c:ser>
        <c:ser>
          <c:idx val="1"/>
          <c:order val="1"/>
          <c:tx>
            <c:strRef>
              <c:f>RAP!$B$55</c:f>
              <c:strCache>
                <c:ptCount val="1"/>
                <c:pt idx="0">
                  <c:v>Days inventory outstanding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RAP!$C$52:$N$52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RAP!$C$55:$N$55</c:f>
              <c:numCache>
                <c:formatCode>_(* #\ ##0_);_(* \(#\ ##0\);_(* "-"??_);_(@_)</c:formatCode>
                <c:ptCount val="12"/>
                <c:pt idx="0">
                  <c:v>1.1182598039215688</c:v>
                </c:pt>
                <c:pt idx="1">
                  <c:v>1.1182598039215688</c:v>
                </c:pt>
                <c:pt idx="2">
                  <c:v>1.1182598039215688</c:v>
                </c:pt>
                <c:pt idx="3">
                  <c:v>1.1182598039215688</c:v>
                </c:pt>
                <c:pt idx="4">
                  <c:v>1.1182598039215688</c:v>
                </c:pt>
                <c:pt idx="5">
                  <c:v>1.1182598039215688</c:v>
                </c:pt>
                <c:pt idx="6">
                  <c:v>1.1182598039215688</c:v>
                </c:pt>
                <c:pt idx="7">
                  <c:v>1.1182598039215688</c:v>
                </c:pt>
                <c:pt idx="8">
                  <c:v>1.1182598039215688</c:v>
                </c:pt>
                <c:pt idx="9">
                  <c:v>1.1182598039215688</c:v>
                </c:pt>
                <c:pt idx="10">
                  <c:v>1.1182598039215688</c:v>
                </c:pt>
                <c:pt idx="11">
                  <c:v>1.1182598039215688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A9-4B3B-BA4D-136BA156EE82}"/>
            </c:ext>
          </c:extLst>
        </c:ser>
        <c:ser>
          <c:idx val="2"/>
          <c:order val="2"/>
          <c:tx>
            <c:strRef>
              <c:f>RAP!$B$56</c:f>
              <c:strCache>
                <c:ptCount val="1"/>
                <c:pt idx="0">
                  <c:v>Days payable outstanding</c:v>
                </c:pt>
              </c:strCache>
            </c:strRef>
          </c:tx>
          <c:spPr>
            <a:ln w="28575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RAP!$C$52:$N$52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RAP!$C$56:$N$56</c:f>
              <c:numCache>
                <c:formatCode>_(* #\ ##0_);_(* \(#\ ##0\);_(* "-"??_);_(@_)</c:formatCode>
                <c:ptCount val="12"/>
                <c:pt idx="0">
                  <c:v>1.0064338235294119</c:v>
                </c:pt>
                <c:pt idx="1">
                  <c:v>1.0064338235294119</c:v>
                </c:pt>
                <c:pt idx="2">
                  <c:v>1.0064338235294119</c:v>
                </c:pt>
                <c:pt idx="3">
                  <c:v>1.0064338235294119</c:v>
                </c:pt>
                <c:pt idx="4">
                  <c:v>1.0064338235294119</c:v>
                </c:pt>
                <c:pt idx="5">
                  <c:v>1.0064338235294119</c:v>
                </c:pt>
                <c:pt idx="6">
                  <c:v>1.0064338235294119</c:v>
                </c:pt>
                <c:pt idx="7">
                  <c:v>1.0064338235294119</c:v>
                </c:pt>
                <c:pt idx="8">
                  <c:v>1.0064338235294119</c:v>
                </c:pt>
                <c:pt idx="9">
                  <c:v>1.0064338235294119</c:v>
                </c:pt>
                <c:pt idx="10">
                  <c:v>1.0064338235294119</c:v>
                </c:pt>
                <c:pt idx="11">
                  <c:v>1.0064338235294119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A9-4B3B-BA4D-136BA156EE82}"/>
            </c:ext>
          </c:extLst>
        </c:ser>
        <c:ser>
          <c:idx val="3"/>
          <c:order val="3"/>
          <c:tx>
            <c:strRef>
              <c:f>RAP!$B$57</c:f>
              <c:strCache>
                <c:ptCount val="1"/>
                <c:pt idx="0">
                  <c:v>Cash conversion cycle days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RAP!$C$52:$N$52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RAP!$C$57:$N$57</c:f>
              <c:numCache>
                <c:formatCode>_(* #\ ##0_);_(* \(#\ ##0\);_(* "-"??_);_(@_)</c:formatCode>
                <c:ptCount val="12"/>
                <c:pt idx="0">
                  <c:v>1.4252729500891264</c:v>
                </c:pt>
                <c:pt idx="1">
                  <c:v>1.4252729500891264</c:v>
                </c:pt>
                <c:pt idx="2">
                  <c:v>1.4252729500891264</c:v>
                </c:pt>
                <c:pt idx="3">
                  <c:v>1.4252729500891264</c:v>
                </c:pt>
                <c:pt idx="4">
                  <c:v>1.4252729500891264</c:v>
                </c:pt>
                <c:pt idx="5">
                  <c:v>1.4252729500891264</c:v>
                </c:pt>
                <c:pt idx="6">
                  <c:v>1.4252729500891264</c:v>
                </c:pt>
                <c:pt idx="7">
                  <c:v>1.4252729500891264</c:v>
                </c:pt>
                <c:pt idx="8">
                  <c:v>1.4252729500891264</c:v>
                </c:pt>
                <c:pt idx="9">
                  <c:v>1.4252729500891264</c:v>
                </c:pt>
                <c:pt idx="10">
                  <c:v>1.4252729500891264</c:v>
                </c:pt>
                <c:pt idx="11">
                  <c:v>1.4252729500891264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A9-4B3B-BA4D-136BA156E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747392"/>
        <c:axId val="192748928"/>
      </c:lineChart>
      <c:dateAx>
        <c:axId val="192747392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48928"/>
        <c:crosses val="autoZero"/>
        <c:auto val="1"/>
        <c:lblOffset val="100"/>
        <c:baseTimeUnit val="days"/>
      </c:dateAx>
      <c:valAx>
        <c:axId val="19274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\ ##0_);_(* \(#\ 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4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RAP!$B$14</c:f>
              <c:strCache>
                <c:ptCount val="1"/>
                <c:pt idx="0">
                  <c:v>Revenue per employee</c:v>
                </c:pt>
              </c:strCache>
            </c:strRef>
          </c:tx>
          <c:spPr>
            <a:solidFill>
              <a:srgbClr val="004F8A"/>
            </a:solidFill>
            <a:ln>
              <a:noFill/>
            </a:ln>
            <a:effectLst/>
          </c:spPr>
          <c:invertIfNegative val="0"/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RAP!$C$14:$N$14</c:f>
              <c:numCache>
                <c:formatCode>_(* #\ ##0_);_(* \(#\ ##0\);_(* "-"??_);_(@_)</c:formatCode>
                <c:ptCount val="12"/>
                <c:pt idx="0">
                  <c:v>1150.7936507936508</c:v>
                </c:pt>
                <c:pt idx="1">
                  <c:v>1542.4603174603176</c:v>
                </c:pt>
                <c:pt idx="2">
                  <c:v>1934.1269841269841</c:v>
                </c:pt>
                <c:pt idx="3">
                  <c:v>2325.7936507936506</c:v>
                </c:pt>
                <c:pt idx="4">
                  <c:v>2717.4603174603171</c:v>
                </c:pt>
                <c:pt idx="5">
                  <c:v>3108.730158730159</c:v>
                </c:pt>
                <c:pt idx="6">
                  <c:v>3500</c:v>
                </c:pt>
                <c:pt idx="7">
                  <c:v>3891.2698412698414</c:v>
                </c:pt>
                <c:pt idx="8">
                  <c:v>4282.539682539682</c:v>
                </c:pt>
                <c:pt idx="9">
                  <c:v>4673.8095238095239</c:v>
                </c:pt>
                <c:pt idx="10">
                  <c:v>5065.0793650793657</c:v>
                </c:pt>
                <c:pt idx="11">
                  <c:v>5456.3492063492058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93-4732-B5B1-CF374FC980AF}"/>
            </c:ext>
          </c:extLst>
        </c:ser>
        <c:ser>
          <c:idx val="1"/>
          <c:order val="1"/>
          <c:tx>
            <c:strRef>
              <c:f>RAP!$B$15</c:f>
              <c:strCache>
                <c:ptCount val="1"/>
                <c:pt idx="0">
                  <c:v>Profit per employee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RAP!$C$15:$N$15</c:f>
              <c:numCache>
                <c:formatCode>_(* #\ ##0_);_(* \(#\ ##0\);_(* "-"??_);_(@_)</c:formatCode>
                <c:ptCount val="12"/>
                <c:pt idx="0">
                  <c:v>-7879.0420944387888</c:v>
                </c:pt>
                <c:pt idx="1">
                  <c:v>-7784.042237280014</c:v>
                </c:pt>
                <c:pt idx="2">
                  <c:v>-7689.0423801212428</c:v>
                </c:pt>
                <c:pt idx="3">
                  <c:v>-5940.6033695233155</c:v>
                </c:pt>
                <c:pt idx="4">
                  <c:v>-5845.6035123645452</c:v>
                </c:pt>
                <c:pt idx="5">
                  <c:v>-5750.6857493881407</c:v>
                </c:pt>
                <c:pt idx="6">
                  <c:v>-5655.7679864117372</c:v>
                </c:pt>
                <c:pt idx="7">
                  <c:v>-5560.8502234353355</c:v>
                </c:pt>
                <c:pt idx="8">
                  <c:v>-5468.3134128398851</c:v>
                </c:pt>
                <c:pt idx="9">
                  <c:v>-5371.0146974825293</c:v>
                </c:pt>
                <c:pt idx="10">
                  <c:v>-5276.0969345061267</c:v>
                </c:pt>
                <c:pt idx="11">
                  <c:v>-5181.1791715297259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93-4732-B5B1-CF374FC980AF}"/>
            </c:ext>
          </c:extLst>
        </c:ser>
        <c:ser>
          <c:idx val="2"/>
          <c:order val="2"/>
          <c:tx>
            <c:strRef>
              <c:f>RAP!$B$16</c:f>
              <c:strCache>
                <c:ptCount val="1"/>
                <c:pt idx="0">
                  <c:v>EBITDA per employee</c:v>
                </c:pt>
              </c:strCache>
            </c:strRef>
          </c:tx>
          <c:spPr>
            <a:solidFill>
              <a:srgbClr val="00FF99"/>
            </a:solidFill>
            <a:ln>
              <a:noFill/>
            </a:ln>
            <a:effectLst/>
          </c:spPr>
          <c:invertIfNegative val="0"/>
          <c:cat>
            <c:numRef>
              <c:f>RAP!$C$6:$N$6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RAP!$C$16:$N$16</c:f>
              <c:numCache>
                <c:formatCode>_(* #\ ##0_);_(* \(#\ ##0\);_(* "-"??_);_(@_)</c:formatCode>
                <c:ptCount val="12"/>
                <c:pt idx="0">
                  <c:v>-4569.2947399414334</c:v>
                </c:pt>
                <c:pt idx="1">
                  <c:v>-4474.2948827826604</c:v>
                </c:pt>
                <c:pt idx="2">
                  <c:v>-4379.2950256238873</c:v>
                </c:pt>
                <c:pt idx="3">
                  <c:v>-4284.2951684651143</c:v>
                </c:pt>
                <c:pt idx="4">
                  <c:v>-4189.2953113063431</c:v>
                </c:pt>
                <c:pt idx="5">
                  <c:v>-4094.3775483299387</c:v>
                </c:pt>
                <c:pt idx="6">
                  <c:v>-3999.4597853535365</c:v>
                </c:pt>
                <c:pt idx="7">
                  <c:v>-3904.5420223771339</c:v>
                </c:pt>
                <c:pt idx="8">
                  <c:v>-3812.005211781684</c:v>
                </c:pt>
                <c:pt idx="9">
                  <c:v>-3714.7064964243286</c:v>
                </c:pt>
                <c:pt idx="10">
                  <c:v>-3619.7887334479256</c:v>
                </c:pt>
                <c:pt idx="11">
                  <c:v>-3524.8709704715243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93-4732-B5B1-CF374FC98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788352"/>
        <c:axId val="192789888"/>
      </c:barChart>
      <c:dateAx>
        <c:axId val="192788352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89888"/>
        <c:crosses val="autoZero"/>
        <c:auto val="1"/>
        <c:lblOffset val="100"/>
        <c:baseTimeUnit val="days"/>
      </c:dateAx>
      <c:valAx>
        <c:axId val="192789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\ ##0_);_(* \(#\ 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8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RAP!$B$43</c:f>
              <c:strCache>
                <c:ptCount val="1"/>
                <c:pt idx="0">
                  <c:v>Equity ratio</c:v>
                </c:pt>
              </c:strCache>
            </c:strRef>
          </c:tx>
          <c:spPr>
            <a:ln w="28575" cap="rnd">
              <a:solidFill>
                <a:srgbClr val="00CCFF"/>
              </a:solidFill>
              <a:round/>
            </a:ln>
            <a:effectLst/>
          </c:spPr>
          <c:marker>
            <c:symbol val="none"/>
          </c:marker>
          <c:cat>
            <c:numRef>
              <c:f>RAP!$C$36:$N$36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RAP!$C$43:$N$43</c:f>
              <c:numCache>
                <c:formatCode>0%</c:formatCode>
                <c:ptCount val="12"/>
                <c:pt idx="0">
                  <c:v>-0.19551478201449646</c:v>
                </c:pt>
                <c:pt idx="1">
                  <c:v>-0.48559149370596727</c:v>
                </c:pt>
                <c:pt idx="2">
                  <c:v>-0.95386195410962393</c:v>
                </c:pt>
                <c:pt idx="3">
                  <c:v>5.4525894578948728</c:v>
                </c:pt>
                <c:pt idx="4">
                  <c:v>3.1294518706351915</c:v>
                </c:pt>
                <c:pt idx="5">
                  <c:v>2.407228465511587</c:v>
                </c:pt>
                <c:pt idx="6">
                  <c:v>2.0552689703640517</c:v>
                </c:pt>
                <c:pt idx="7">
                  <c:v>1.8470038845481327</c:v>
                </c:pt>
                <c:pt idx="8">
                  <c:v>1.7093524975013576</c:v>
                </c:pt>
                <c:pt idx="9">
                  <c:v>1.6117183126758281</c:v>
                </c:pt>
                <c:pt idx="10">
                  <c:v>1.5388681395050134</c:v>
                </c:pt>
                <c:pt idx="11">
                  <c:v>1.4824523504189748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D-4827-94D5-AF6FB4987F14}"/>
            </c:ext>
          </c:extLst>
        </c:ser>
        <c:ser>
          <c:idx val="1"/>
          <c:order val="1"/>
          <c:tx>
            <c:strRef>
              <c:f>RAP!$B$44</c:f>
              <c:strCache>
                <c:ptCount val="1"/>
                <c:pt idx="0">
                  <c:v>Debt ratio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RAP!$C$36:$N$36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RAP!$C$44:$N$44</c:f>
              <c:numCache>
                <c:formatCode>0%</c:formatCode>
                <c:ptCount val="12"/>
                <c:pt idx="0">
                  <c:v>1.1955147820144965</c:v>
                </c:pt>
                <c:pt idx="1">
                  <c:v>1.4855914937059673</c:v>
                </c:pt>
                <c:pt idx="2">
                  <c:v>1.9538619541096238</c:v>
                </c:pt>
                <c:pt idx="3">
                  <c:v>-4.4525894578948728</c:v>
                </c:pt>
                <c:pt idx="4">
                  <c:v>-2.1294518706351915</c:v>
                </c:pt>
                <c:pt idx="5">
                  <c:v>-1.407228465511587</c:v>
                </c:pt>
                <c:pt idx="6">
                  <c:v>-1.0552689703640514</c:v>
                </c:pt>
                <c:pt idx="7">
                  <c:v>-0.84700388454813269</c:v>
                </c:pt>
                <c:pt idx="8">
                  <c:v>-0.70935249750135765</c:v>
                </c:pt>
                <c:pt idx="9">
                  <c:v>-0.6117183126758281</c:v>
                </c:pt>
                <c:pt idx="10">
                  <c:v>-0.53886813950501355</c:v>
                </c:pt>
                <c:pt idx="11">
                  <c:v>-0.48245235041897483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0D-4827-94D5-AF6FB4987F14}"/>
            </c:ext>
          </c:extLst>
        </c:ser>
        <c:ser>
          <c:idx val="2"/>
          <c:order val="2"/>
          <c:tx>
            <c:strRef>
              <c:f>RAP!$B$45</c:f>
              <c:strCache>
                <c:ptCount val="1"/>
                <c:pt idx="0">
                  <c:v>Fixed assets to total assets</c:v>
                </c:pt>
              </c:strCache>
            </c:strRef>
          </c:tx>
          <c:spPr>
            <a:ln w="28575" cap="rnd">
              <a:solidFill>
                <a:srgbClr val="0060A8"/>
              </a:solidFill>
              <a:round/>
            </a:ln>
            <a:effectLst/>
          </c:spPr>
          <c:marker>
            <c:symbol val="none"/>
          </c:marker>
          <c:cat>
            <c:numRef>
              <c:f>RAP!$C$36:$N$36</c:f>
              <c:numCache>
                <c:formatCode>[$-409]mmm\-yy;@</c:formatCode>
                <c:ptCount val="12"/>
                <c:pt idx="0">
                  <c:v>46053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RAP!$C$45:$N$45</c:f>
              <c:numCache>
                <c:formatCode>0%</c:formatCode>
                <c:ptCount val="12"/>
                <c:pt idx="0">
                  <c:v>2.2230907756144889E-3</c:v>
                </c:pt>
                <c:pt idx="1">
                  <c:v>2.7193795812109896E-3</c:v>
                </c:pt>
                <c:pt idx="2">
                  <c:v>3.5198458809635219E-3</c:v>
                </c:pt>
                <c:pt idx="3">
                  <c:v>-1.5770405273154084E-2</c:v>
                </c:pt>
                <c:pt idx="4">
                  <c:v>-7.4185330738970792E-3</c:v>
                </c:pt>
                <c:pt idx="5">
                  <c:v>-4.8207530918621738E-3</c:v>
                </c:pt>
                <c:pt idx="6">
                  <c:v>-3.5537711839023706E-3</c:v>
                </c:pt>
                <c:pt idx="7">
                  <c:v>-2.8032340357531911E-3</c:v>
                </c:pt>
                <c:pt idx="8">
                  <c:v>-2.3064860655666419E-3</c:v>
                </c:pt>
                <c:pt idx="9">
                  <c:v>-1.9535176253309447E-3</c:v>
                </c:pt>
                <c:pt idx="10">
                  <c:v>-1.6895956504893168E-3</c:v>
                </c:pt>
                <c:pt idx="11">
                  <c:v>-1.4847082238396503E-3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0D-4827-94D5-AF6FB4987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903040"/>
        <c:axId val="192904576"/>
      </c:lineChart>
      <c:dateAx>
        <c:axId val="19290304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04576"/>
        <c:crosses val="autoZero"/>
        <c:auto val="1"/>
        <c:lblOffset val="100"/>
        <c:baseTimeUnit val="days"/>
      </c:dateAx>
      <c:valAx>
        <c:axId val="19290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0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Valuation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'Multiples Valuation'!$C$13</c:f>
              <c:strCache>
                <c:ptCount val="1"/>
                <c:pt idx="0">
                  <c:v>Medium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BC8-BC47-AEEB-93AA7EA79E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'Multiples Valuation'!$C$35</c:f>
              <c:numCache>
                <c:formatCode>#,##0_);\(#,##0\)</c:formatCode>
                <c:ptCount val="1"/>
                <c:pt idx="0">
                  <c:v>-808089.32869533356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C8-BC47-AEEB-93AA7EA79E72}"/>
            </c:ext>
          </c:extLst>
        </c:ser>
        <c:ser>
          <c:idx val="1"/>
          <c:order val="1"/>
          <c:tx>
            <c:strRef>
              <c:f>'Multiples Valuation'!$D$13</c:f>
              <c:strCache>
                <c:ptCount val="1"/>
                <c:pt idx="0">
                  <c:v>Low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BC8-BC47-AEEB-93AA7EA79E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'Multiples Valuation'!$D$35</c:f>
              <c:numCache>
                <c:formatCode>#,##0_);\(#,##0\)</c:formatCode>
                <c:ptCount val="1"/>
                <c:pt idx="0">
                  <c:v>-1904332.5869215224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C8-BC47-AEEB-93AA7EA79E72}"/>
            </c:ext>
          </c:extLst>
        </c:ser>
        <c:ser>
          <c:idx val="2"/>
          <c:order val="2"/>
          <c:tx>
            <c:strRef>
              <c:f>'Multiples Valuation'!$E$13</c:f>
              <c:strCache>
                <c:ptCount val="1"/>
                <c:pt idx="0">
                  <c:v>High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BC8-BC47-AEEB-93AA7EA79E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'Multiples Valuation'!$E$35</c:f>
              <c:numCache>
                <c:formatCode>#,##0_);\(#,##0\)</c:formatCode>
                <c:ptCount val="1"/>
                <c:pt idx="0">
                  <c:v>-77260.489877874032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C8-BC47-AEEB-93AA7EA79E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2"/>
        <c:overlap val="-72"/>
        <c:axId val="1361746495"/>
        <c:axId val="1431351359"/>
      </c:barChart>
      <c:catAx>
        <c:axId val="1361746495"/>
        <c:scaling>
          <c:orientation val="minMax"/>
        </c:scaling>
        <c:delete val="1"/>
        <c:axPos val="b"/>
        <c:majorTickMark val="none"/>
        <c:minorTickMark val="none"/>
        <c:tickLblPos val="nextTo"/>
        <c:crossAx val="1431351359"/>
        <c:crosses val="autoZero"/>
        <c:auto val="1"/>
        <c:lblAlgn val="ctr"/>
        <c:lblOffset val="100"/>
        <c:noMultiLvlLbl val="0"/>
      </c:catAx>
      <c:valAx>
        <c:axId val="1431351359"/>
        <c:scaling>
          <c:orientation val="minMax"/>
        </c:scaling>
        <c:delete val="0"/>
        <c:axPos val="l"/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1746495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194310</xdr:colOff>
      <xdr:row>2</xdr:row>
      <xdr:rowOff>0</xdr:rowOff>
    </xdr:from>
    <xdr:to>
      <xdr:col>23</xdr:col>
      <xdr:colOff>259080</xdr:colOff>
      <xdr:row>11</xdr:row>
      <xdr:rowOff>144779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200025</xdr:colOff>
      <xdr:row>21</xdr:row>
      <xdr:rowOff>163830</xdr:rowOff>
    </xdr:from>
    <xdr:to>
      <xdr:col>23</xdr:col>
      <xdr:colOff>283845</xdr:colOff>
      <xdr:row>30</xdr:row>
      <xdr:rowOff>118110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200025</xdr:colOff>
      <xdr:row>30</xdr:row>
      <xdr:rowOff>175260</xdr:rowOff>
    </xdr:from>
    <xdr:to>
      <xdr:col>23</xdr:col>
      <xdr:colOff>297180</xdr:colOff>
      <xdr:row>39</xdr:row>
      <xdr:rowOff>72390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213360</xdr:colOff>
      <xdr:row>53</xdr:row>
      <xdr:rowOff>17146</xdr:rowOff>
    </xdr:from>
    <xdr:to>
      <xdr:col>23</xdr:col>
      <xdr:colOff>312419</xdr:colOff>
      <xdr:row>62</xdr:row>
      <xdr:rowOff>7621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205740</xdr:colOff>
      <xdr:row>11</xdr:row>
      <xdr:rowOff>175260</xdr:rowOff>
    </xdr:from>
    <xdr:to>
      <xdr:col>23</xdr:col>
      <xdr:colOff>270510</xdr:colOff>
      <xdr:row>21</xdr:row>
      <xdr:rowOff>137160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205740</xdr:colOff>
      <xdr:row>39</xdr:row>
      <xdr:rowOff>137160</xdr:rowOff>
    </xdr:from>
    <xdr:to>
      <xdr:col>23</xdr:col>
      <xdr:colOff>302895</xdr:colOff>
      <xdr:row>48</xdr:row>
      <xdr:rowOff>41910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25</xdr:row>
      <xdr:rowOff>38100</xdr:rowOff>
    </xdr:from>
    <xdr:to>
      <xdr:col>14</xdr:col>
      <xdr:colOff>387350</xdr:colOff>
      <xdr:row>45</xdr:row>
      <xdr:rowOff>12700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2A649EC-CECF-8343-6456-43753C4F15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2D50627-533E-A246-857B-8AC193920C0A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b0663cc-9220-489b-a261-4f4213c14b9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D37"/>
  <sheetViews>
    <sheetView showGridLines="0" zoomScale="110" zoomScaleNormal="120" workbookViewId="0">
      <selection activeCell="C34" sqref="C34"/>
    </sheetView>
  </sheetViews>
  <sheetFormatPr baseColWidth="10" defaultColWidth="8.83203125" defaultRowHeight="15"/>
  <cols>
    <col min="1" max="1" width="3.33203125" customWidth="1"/>
    <col min="2" max="2" width="17.1640625" customWidth="1"/>
    <col min="3" max="3" width="31.5" customWidth="1"/>
    <col min="4" max="4" width="89.83203125" customWidth="1"/>
  </cols>
  <sheetData>
    <row r="1" spans="1:4" s="300" customFormat="1" ht="16">
      <c r="A1" s="297" t="s">
        <v>426</v>
      </c>
      <c r="B1" s="298"/>
      <c r="C1" s="299"/>
      <c r="D1" s="298"/>
    </row>
    <row r="2" spans="1:4" ht="16">
      <c r="A2" s="60"/>
      <c r="B2" s="63"/>
      <c r="C2" s="63"/>
      <c r="D2" s="63"/>
    </row>
    <row r="3" spans="1:4" s="43" customFormat="1" ht="16">
      <c r="A3" s="63"/>
      <c r="B3" s="309" t="s">
        <v>427</v>
      </c>
      <c r="C3" s="310" t="s">
        <v>428</v>
      </c>
      <c r="D3" s="311" t="s">
        <v>481</v>
      </c>
    </row>
    <row r="4" spans="1:4" s="43" customFormat="1" ht="16">
      <c r="A4" s="63"/>
      <c r="B4" s="303"/>
      <c r="C4" s="302"/>
      <c r="D4" s="304"/>
    </row>
    <row r="5" spans="1:4" ht="16">
      <c r="A5" s="60"/>
      <c r="B5" s="388" t="s">
        <v>452</v>
      </c>
      <c r="C5" s="64" t="s">
        <v>429</v>
      </c>
      <c r="D5" s="305" t="s">
        <v>525</v>
      </c>
    </row>
    <row r="6" spans="1:4" ht="16">
      <c r="A6" s="60"/>
      <c r="B6" s="388" t="s">
        <v>453</v>
      </c>
      <c r="C6" s="64" t="s">
        <v>123</v>
      </c>
      <c r="D6" s="305" t="s">
        <v>450</v>
      </c>
    </row>
    <row r="7" spans="1:4" ht="16">
      <c r="A7" s="60"/>
      <c r="B7" s="388" t="s">
        <v>448</v>
      </c>
      <c r="C7" s="64" t="s">
        <v>449</v>
      </c>
      <c r="D7" s="305" t="s">
        <v>451</v>
      </c>
    </row>
    <row r="8" spans="1:4" ht="16">
      <c r="A8" s="60"/>
      <c r="B8" s="388" t="s">
        <v>430</v>
      </c>
      <c r="C8" s="64" t="s">
        <v>482</v>
      </c>
      <c r="D8" s="305" t="s">
        <v>482</v>
      </c>
    </row>
    <row r="9" spans="1:4" ht="16">
      <c r="A9" s="60"/>
      <c r="B9" s="388" t="s">
        <v>431</v>
      </c>
      <c r="C9" s="64" t="s">
        <v>478</v>
      </c>
      <c r="D9" s="305" t="s">
        <v>479</v>
      </c>
    </row>
    <row r="10" spans="1:4" ht="16">
      <c r="A10" s="60"/>
      <c r="B10" s="388" t="s">
        <v>432</v>
      </c>
      <c r="C10" s="64" t="s">
        <v>475</v>
      </c>
      <c r="D10" s="305" t="s">
        <v>483</v>
      </c>
    </row>
    <row r="11" spans="1:4" ht="16">
      <c r="A11" s="60"/>
      <c r="B11" s="388" t="s">
        <v>480</v>
      </c>
      <c r="C11" s="64" t="s">
        <v>477</v>
      </c>
      <c r="D11" s="305" t="s">
        <v>476</v>
      </c>
    </row>
    <row r="12" spans="1:4" ht="16">
      <c r="A12" s="60"/>
      <c r="B12" s="388" t="s">
        <v>433</v>
      </c>
      <c r="C12" s="64" t="s">
        <v>473</v>
      </c>
      <c r="D12" s="305" t="s">
        <v>440</v>
      </c>
    </row>
    <row r="13" spans="1:4" ht="16">
      <c r="A13" s="60"/>
      <c r="B13" s="388" t="s">
        <v>435</v>
      </c>
      <c r="C13" s="64" t="s">
        <v>438</v>
      </c>
      <c r="D13" s="305" t="s">
        <v>439</v>
      </c>
    </row>
    <row r="14" spans="1:4" ht="16">
      <c r="A14" s="60"/>
      <c r="B14" s="388" t="s">
        <v>436</v>
      </c>
      <c r="C14" s="64" t="s">
        <v>484</v>
      </c>
      <c r="D14" s="305" t="s">
        <v>437</v>
      </c>
    </row>
    <row r="15" spans="1:4" ht="16">
      <c r="A15" s="60"/>
      <c r="B15" s="388" t="s">
        <v>447</v>
      </c>
      <c r="C15" s="64" t="s">
        <v>48</v>
      </c>
      <c r="D15" s="305" t="s">
        <v>472</v>
      </c>
    </row>
    <row r="16" spans="1:4" ht="16">
      <c r="A16" s="60"/>
      <c r="B16" s="388" t="s">
        <v>441</v>
      </c>
      <c r="C16" s="64" t="s">
        <v>15</v>
      </c>
      <c r="D16" s="305" t="s">
        <v>485</v>
      </c>
    </row>
    <row r="17" spans="1:4" ht="16">
      <c r="A17" s="60"/>
      <c r="B17" s="388" t="s">
        <v>442</v>
      </c>
      <c r="C17" s="64" t="s">
        <v>14</v>
      </c>
      <c r="D17" s="305" t="s">
        <v>486</v>
      </c>
    </row>
    <row r="18" spans="1:4" ht="16">
      <c r="A18" s="60"/>
      <c r="B18" s="388" t="s">
        <v>443</v>
      </c>
      <c r="C18" s="64" t="s">
        <v>487</v>
      </c>
      <c r="D18" s="305" t="s">
        <v>471</v>
      </c>
    </row>
    <row r="19" spans="1:4" ht="16">
      <c r="A19" s="60"/>
      <c r="B19" s="388" t="s">
        <v>444</v>
      </c>
      <c r="C19" s="64" t="s">
        <v>469</v>
      </c>
      <c r="D19" s="305" t="s">
        <v>470</v>
      </c>
    </row>
    <row r="20" spans="1:4" ht="16">
      <c r="A20" s="60"/>
      <c r="B20" s="388" t="s">
        <v>467</v>
      </c>
      <c r="C20" s="64" t="s">
        <v>468</v>
      </c>
      <c r="D20" s="305" t="s">
        <v>468</v>
      </c>
    </row>
    <row r="21" spans="1:4" ht="16">
      <c r="A21" s="60"/>
      <c r="B21" s="388" t="s">
        <v>445</v>
      </c>
      <c r="C21" s="64" t="s">
        <v>466</v>
      </c>
      <c r="D21" s="305" t="s">
        <v>466</v>
      </c>
    </row>
    <row r="22" spans="1:4" ht="16">
      <c r="A22" s="60"/>
      <c r="B22" s="388" t="s">
        <v>446</v>
      </c>
      <c r="C22" s="64" t="s">
        <v>465</v>
      </c>
      <c r="D22" s="305" t="s">
        <v>465</v>
      </c>
    </row>
    <row r="23" spans="1:4" ht="16">
      <c r="A23" s="60"/>
      <c r="B23" s="388" t="s">
        <v>613</v>
      </c>
      <c r="C23" s="64" t="s">
        <v>160</v>
      </c>
      <c r="D23" s="305" t="s">
        <v>614</v>
      </c>
    </row>
    <row r="24" spans="1:4" ht="16">
      <c r="A24" s="60"/>
      <c r="B24" s="388" t="s">
        <v>474</v>
      </c>
      <c r="C24" s="64" t="s">
        <v>488</v>
      </c>
      <c r="D24" s="305" t="s">
        <v>488</v>
      </c>
    </row>
    <row r="25" spans="1:4" ht="16">
      <c r="A25" s="60"/>
      <c r="B25" s="388" t="s">
        <v>456</v>
      </c>
      <c r="C25" s="64" t="s">
        <v>456</v>
      </c>
      <c r="D25" s="305" t="s">
        <v>464</v>
      </c>
    </row>
    <row r="26" spans="1:4" ht="16">
      <c r="A26" s="60"/>
      <c r="B26" s="388" t="s">
        <v>454</v>
      </c>
      <c r="C26" s="64" t="s">
        <v>455</v>
      </c>
      <c r="D26" s="305" t="s">
        <v>463</v>
      </c>
    </row>
    <row r="27" spans="1:4" ht="16">
      <c r="A27" s="60"/>
      <c r="B27" s="388" t="s">
        <v>116</v>
      </c>
      <c r="C27" s="64" t="s">
        <v>462</v>
      </c>
      <c r="D27" s="305" t="s">
        <v>489</v>
      </c>
    </row>
    <row r="28" spans="1:4" ht="16">
      <c r="A28" s="60"/>
      <c r="B28" s="388" t="s">
        <v>127</v>
      </c>
      <c r="C28" s="64" t="s">
        <v>461</v>
      </c>
      <c r="D28" s="305" t="s">
        <v>490</v>
      </c>
    </row>
    <row r="29" spans="1:4" ht="16">
      <c r="A29" s="60"/>
      <c r="B29" s="388" t="s">
        <v>457</v>
      </c>
      <c r="C29" s="64" t="s">
        <v>460</v>
      </c>
      <c r="D29" s="305" t="s">
        <v>491</v>
      </c>
    </row>
    <row r="30" spans="1:4" ht="16">
      <c r="A30" s="60"/>
      <c r="B30" s="388" t="s">
        <v>458</v>
      </c>
      <c r="C30" s="64" t="s">
        <v>459</v>
      </c>
      <c r="D30" s="305" t="s">
        <v>492</v>
      </c>
    </row>
    <row r="31" spans="1:4" ht="16">
      <c r="A31" s="60"/>
      <c r="B31" s="306"/>
      <c r="C31" s="307"/>
      <c r="D31" s="308"/>
    </row>
    <row r="32" spans="1:4" ht="16">
      <c r="A32" s="569" t="s">
        <v>617</v>
      </c>
      <c r="C32" s="64"/>
      <c r="D32" s="64"/>
    </row>
    <row r="33" spans="1:4">
      <c r="C33" s="64"/>
      <c r="D33" s="64"/>
    </row>
    <row r="34" spans="1:4" ht="16">
      <c r="A34" s="60"/>
      <c r="B34" s="60"/>
      <c r="C34" s="60"/>
      <c r="D34" s="60"/>
    </row>
    <row r="35" spans="1:4" ht="16">
      <c r="A35" s="60"/>
      <c r="B35" s="60"/>
      <c r="C35" s="60"/>
      <c r="D35" s="60"/>
    </row>
    <row r="36" spans="1:4" ht="16">
      <c r="A36" s="60"/>
      <c r="B36" s="60"/>
      <c r="C36" s="60"/>
      <c r="D36" s="60"/>
    </row>
    <row r="37" spans="1:4" ht="16">
      <c r="A37" s="60"/>
      <c r="B37" s="60"/>
      <c r="C37" s="60"/>
      <c r="D37" s="60"/>
    </row>
  </sheetData>
  <hyperlinks>
    <hyperlink ref="B5" location="INS!A1" display="INS" xr:uid="{00000000-0004-0000-0000-000000000000}"/>
    <hyperlink ref="B6" location="ASSUM!A1" display="ASSUM" xr:uid="{00000000-0004-0000-0000-000001000000}"/>
    <hyperlink ref="B7" location="MC!A1" display="MC" xr:uid="{00000000-0004-0000-0000-000002000000}"/>
    <hyperlink ref="B8" location="HF!A1" display="HF" xr:uid="{00000000-0004-0000-0000-000003000000}"/>
    <hyperlink ref="B9" location="BVA!A1" display="BVA" xr:uid="{00000000-0004-0000-0000-000005000000}"/>
    <hyperlink ref="B10" location="RA!A1" display="RA" xr:uid="{00000000-0004-0000-0000-000006000000}"/>
    <hyperlink ref="B11" location="'REV COGS'!A1" display="REV COGS" xr:uid="{00000000-0004-0000-0000-000007000000}"/>
    <hyperlink ref="B13" location="OH!A1" display="OH" xr:uid="{00000000-0004-0000-0000-00000A000000}"/>
    <hyperlink ref="B14" location="OTH!A1" display="OTH" xr:uid="{00000000-0004-0000-0000-00000B000000}"/>
    <hyperlink ref="B15" location="NWC!A1" display="NWC" xr:uid="{00000000-0004-0000-0000-00000C000000}"/>
    <hyperlink ref="B16" location="TA!A1" display="TA" xr:uid="{00000000-0004-0000-0000-00000D000000}"/>
    <hyperlink ref="B30" location="CC!A1" display="CC" xr:uid="{00000000-0004-0000-0000-00000E000000}"/>
    <hyperlink ref="B29" location="VbM!A1" display="VbM" xr:uid="{00000000-0004-0000-0000-00000F000000}"/>
    <hyperlink ref="B28" location="'DCF '!A1" display="DCF" xr:uid="{00000000-0004-0000-0000-000010000000}"/>
    <hyperlink ref="B27" location="WACC!A1" display="WACC" xr:uid="{00000000-0004-0000-0000-000011000000}"/>
    <hyperlink ref="B26" location="BEA!A1" display="BEA" xr:uid="{00000000-0004-0000-0000-000012000000}"/>
    <hyperlink ref="B25" location="'EBITDA KPIs'!A1" display="EBITDA KPIs" xr:uid="{00000000-0004-0000-0000-000013000000}"/>
    <hyperlink ref="B24" location="RAP!A1" display="RAP" xr:uid="{00000000-0004-0000-0000-000015000000}"/>
    <hyperlink ref="B23" location="VHA!A1" display="VHA" xr:uid="{00000000-0004-0000-0000-000016000000}"/>
    <hyperlink ref="B22" location="CF!A1" display="CF" xr:uid="{00000000-0004-0000-0000-000017000000}"/>
    <hyperlink ref="B21" location="BS!A1" display="BS" xr:uid="{00000000-0004-0000-0000-000018000000}"/>
    <hyperlink ref="B20" location="PL!A1" display="PL" xr:uid="{00000000-0004-0000-0000-000019000000}"/>
    <hyperlink ref="B19" location="IT!A1" display="IT" xr:uid="{00000000-0004-0000-0000-00001A000000}"/>
    <hyperlink ref="B18" location="FIN!A1" display="FIN" xr:uid="{00000000-0004-0000-0000-00001B000000}"/>
    <hyperlink ref="B17" location="IA!A1" display="IA" xr:uid="{00000000-0004-0000-0000-00001C000000}"/>
    <hyperlink ref="B12" location="SH!A1" display="SH" xr:uid="{00000000-0004-0000-0000-00001D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T28"/>
  <sheetViews>
    <sheetView showGridLines="0" workbookViewId="0">
      <selection activeCell="C25" sqref="C25"/>
    </sheetView>
  </sheetViews>
  <sheetFormatPr baseColWidth="10" defaultColWidth="8.83203125" defaultRowHeight="15"/>
  <sheetData>
    <row r="1" spans="1:20" s="300" customFormat="1" ht="16">
      <c r="A1" s="297" t="s">
        <v>355</v>
      </c>
      <c r="B1" s="298"/>
      <c r="C1" s="299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</row>
    <row r="2" spans="1:20" ht="16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ht="16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1:20" ht="16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6">
      <c r="A5" s="60"/>
      <c r="B5" s="457">
        <f>100</f>
        <v>100</v>
      </c>
      <c r="C5" s="60"/>
      <c r="D5" s="60" t="s">
        <v>359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</row>
    <row r="6" spans="1:20" ht="16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ht="16">
      <c r="A7" s="60"/>
      <c r="B7" s="474">
        <v>100</v>
      </c>
      <c r="C7" s="60"/>
      <c r="D7" s="60" t="s">
        <v>358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</row>
    <row r="8" spans="1:20" ht="16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20" ht="16">
      <c r="A9" s="60"/>
      <c r="B9" s="460">
        <f>+B1+B7</f>
        <v>100</v>
      </c>
      <c r="C9" s="60"/>
      <c r="D9" s="60" t="s">
        <v>357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</row>
    <row r="10" spans="1:20" ht="16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20" ht="16">
      <c r="A11" s="60"/>
      <c r="B11" s="549">
        <f>+B22-B35</f>
        <v>0</v>
      </c>
      <c r="C11" s="60"/>
      <c r="D11" s="60" t="s">
        <v>356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</row>
    <row r="12" spans="1:20" ht="16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1:20" ht="16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6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</row>
    <row r="15" spans="1:20" ht="16">
      <c r="A15" s="60"/>
      <c r="B15" s="61">
        <v>1</v>
      </c>
      <c r="C15" s="62" t="s">
        <v>5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</row>
    <row r="16" spans="1:20" ht="16">
      <c r="A16" s="60"/>
      <c r="B16" s="61">
        <v>2</v>
      </c>
      <c r="C16" s="62" t="s">
        <v>6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</row>
    <row r="17" spans="1:20" ht="16">
      <c r="A17" s="60"/>
      <c r="B17" s="61">
        <v>3</v>
      </c>
      <c r="C17" s="62" t="s">
        <v>228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</row>
    <row r="18" spans="1:20" ht="16">
      <c r="A18" s="60"/>
      <c r="B18" s="61">
        <v>4</v>
      </c>
      <c r="C18" s="62" t="s">
        <v>360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6">
      <c r="A19" s="60"/>
      <c r="B19" s="61">
        <v>5</v>
      </c>
      <c r="C19" s="62" t="s">
        <v>244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</row>
    <row r="20" spans="1:20" ht="16">
      <c r="A20" s="60"/>
      <c r="B20" s="61">
        <v>6</v>
      </c>
      <c r="C20" s="62" t="s">
        <v>524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ht="16">
      <c r="A21" s="60"/>
      <c r="B21" s="59">
        <v>7</v>
      </c>
      <c r="C21" s="66" t="s">
        <v>618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1:20" ht="16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</row>
    <row r="23" spans="1:20" ht="16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ht="16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ht="16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6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</row>
    <row r="27" spans="1:20" ht="16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</row>
    <row r="28" spans="1:20" ht="16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Q35"/>
  <sheetViews>
    <sheetView showGridLines="0" workbookViewId="0">
      <selection activeCell="B24" sqref="B24"/>
    </sheetView>
  </sheetViews>
  <sheetFormatPr baseColWidth="10" defaultColWidth="8.83203125" defaultRowHeight="13"/>
  <cols>
    <col min="1" max="1" width="2.6640625" style="1" customWidth="1"/>
    <col min="2" max="2" width="85.6640625" style="1" customWidth="1"/>
    <col min="3" max="3" width="7.6640625" style="1" customWidth="1"/>
    <col min="4" max="4" width="6.6640625" style="2" customWidth="1"/>
    <col min="5" max="5" width="6.6640625" style="1" customWidth="1"/>
    <col min="6" max="7" width="4.1640625" style="1" customWidth="1"/>
    <col min="8" max="8" width="84.83203125" style="1" customWidth="1"/>
    <col min="9" max="16384" width="8.83203125" style="1"/>
  </cols>
  <sheetData>
    <row r="1" spans="1:17" s="317" customFormat="1" ht="15">
      <c r="A1" s="313">
        <v>1</v>
      </c>
      <c r="B1" s="314" t="s">
        <v>214</v>
      </c>
      <c r="C1" s="315"/>
      <c r="D1" s="316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</row>
    <row r="2" spans="1:17" ht="15">
      <c r="A2" s="58"/>
      <c r="B2" s="58"/>
      <c r="C2" s="58"/>
      <c r="D2" s="59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16" thickBot="1">
      <c r="A3" s="58"/>
      <c r="B3" s="341" t="s">
        <v>227</v>
      </c>
      <c r="C3" s="341"/>
      <c r="D3" s="341"/>
      <c r="E3" s="341"/>
      <c r="F3" s="58"/>
      <c r="G3" s="58"/>
      <c r="H3" s="341" t="s">
        <v>184</v>
      </c>
      <c r="I3" s="341"/>
      <c r="J3" s="341"/>
      <c r="K3" s="341"/>
      <c r="L3" s="58"/>
      <c r="M3" s="58"/>
      <c r="N3" s="58"/>
      <c r="O3" s="58"/>
      <c r="P3" s="58"/>
      <c r="Q3" s="58"/>
    </row>
    <row r="4" spans="1:17" ht="15">
      <c r="A4" s="58"/>
      <c r="B4" s="58"/>
      <c r="C4" s="58"/>
      <c r="D4" s="59"/>
      <c r="E4" s="98"/>
      <c r="F4" s="98"/>
      <c r="G4" s="58"/>
      <c r="H4" s="58"/>
      <c r="I4" s="58"/>
      <c r="J4" s="59"/>
      <c r="K4" s="58"/>
      <c r="L4" s="58"/>
      <c r="M4" s="58"/>
      <c r="N4" s="58"/>
      <c r="O4" s="58"/>
      <c r="P4" s="58"/>
      <c r="Q4" s="58"/>
    </row>
    <row r="5" spans="1:17" ht="16.5" customHeight="1">
      <c r="A5" s="58"/>
      <c r="B5" s="58" t="s">
        <v>220</v>
      </c>
      <c r="C5" s="58"/>
      <c r="D5" s="59"/>
      <c r="E5" s="550">
        <f>+'Historicals &amp; Projections'!C3</f>
        <v>0</v>
      </c>
      <c r="F5" s="99"/>
      <c r="G5" s="58"/>
      <c r="H5" s="58" t="s">
        <v>212</v>
      </c>
      <c r="I5" s="100">
        <f>+'Revenue &amp; COGS Building'!H7</f>
        <v>0.06</v>
      </c>
      <c r="J5" s="557" t="s">
        <v>213</v>
      </c>
      <c r="K5" s="100">
        <f>+'Revenue &amp; COGS Building'!Z68</f>
        <v>0</v>
      </c>
      <c r="L5" s="58"/>
      <c r="M5" s="58"/>
      <c r="N5" s="58"/>
      <c r="O5" s="58"/>
      <c r="P5" s="58"/>
      <c r="Q5" s="58"/>
    </row>
    <row r="6" spans="1:17" ht="16.5" customHeight="1">
      <c r="A6" s="58"/>
      <c r="B6" s="58" t="s">
        <v>219</v>
      </c>
      <c r="C6" s="58"/>
      <c r="D6" s="59"/>
      <c r="E6" s="550">
        <f>+'Historicals &amp; Projections'!D3</f>
        <v>0</v>
      </c>
      <c r="F6" s="99"/>
      <c r="G6" s="58"/>
      <c r="H6" s="58" t="s">
        <v>216</v>
      </c>
      <c r="I6" s="100">
        <f>+'Revenue &amp; COGS Building'!Z68</f>
        <v>0</v>
      </c>
      <c r="J6" s="557" t="s">
        <v>213</v>
      </c>
      <c r="K6" s="100" t="e">
        <f>+#REF!</f>
        <v>#REF!</v>
      </c>
      <c r="L6" s="58"/>
      <c r="M6" s="58"/>
      <c r="N6" s="58"/>
      <c r="O6" s="58"/>
      <c r="P6" s="58"/>
      <c r="Q6" s="58"/>
    </row>
    <row r="7" spans="1:17" ht="16.5" customHeight="1">
      <c r="A7" s="58"/>
      <c r="B7" s="58" t="s">
        <v>209</v>
      </c>
      <c r="C7" s="58"/>
      <c r="D7" s="59"/>
      <c r="E7" s="550">
        <f>+'Historicals &amp; Projections'!D71</f>
        <v>0</v>
      </c>
      <c r="F7" s="99"/>
      <c r="G7" s="58"/>
      <c r="H7" s="58" t="s">
        <v>215</v>
      </c>
      <c r="I7" s="100">
        <f>+'Revenue &amp; COGS Building'!Z68</f>
        <v>0</v>
      </c>
      <c r="J7" s="557" t="s">
        <v>213</v>
      </c>
      <c r="K7" s="100" t="e">
        <f>+#REF!</f>
        <v>#REF!</v>
      </c>
      <c r="L7" s="58"/>
      <c r="M7" s="58"/>
      <c r="N7" s="58"/>
      <c r="O7" s="58"/>
      <c r="P7" s="58"/>
      <c r="Q7" s="58"/>
    </row>
    <row r="8" spans="1:17" ht="16.5" customHeight="1">
      <c r="A8" s="58"/>
      <c r="B8" s="58" t="s">
        <v>210</v>
      </c>
      <c r="C8" s="58"/>
      <c r="D8" s="59"/>
      <c r="E8" s="550">
        <f>+'Historicals &amp; Projections'!D102</f>
        <v>0</v>
      </c>
      <c r="F8" s="99"/>
      <c r="G8" s="58"/>
      <c r="H8" s="58" t="s">
        <v>217</v>
      </c>
      <c r="I8" s="100">
        <f>+'Revenue &amp; COGS Building'!Z68</f>
        <v>0</v>
      </c>
      <c r="J8" s="557" t="s">
        <v>213</v>
      </c>
      <c r="K8" s="100" t="e">
        <f>+Overheads!#REF!</f>
        <v>#REF!</v>
      </c>
      <c r="L8" s="58"/>
      <c r="M8" s="58"/>
      <c r="N8" s="58"/>
      <c r="O8" s="58"/>
      <c r="P8" s="58"/>
      <c r="Q8" s="58"/>
    </row>
    <row r="9" spans="1:17" ht="16.5" customHeight="1">
      <c r="A9" s="58"/>
      <c r="B9" s="58" t="s">
        <v>502</v>
      </c>
      <c r="C9" s="58"/>
      <c r="D9" s="58"/>
      <c r="E9" s="550" t="e">
        <f>+'Revenue &amp; COGS Building'!#REF!</f>
        <v>#REF!</v>
      </c>
      <c r="F9" s="99"/>
      <c r="G9" s="58"/>
      <c r="H9" s="58" t="s">
        <v>218</v>
      </c>
      <c r="I9" s="100">
        <f>+'Revenue &amp; COGS Building'!Z68</f>
        <v>0</v>
      </c>
      <c r="J9" s="557" t="s">
        <v>213</v>
      </c>
      <c r="K9" s="100" t="e">
        <f>+Overheads!#REF!</f>
        <v>#REF!</v>
      </c>
      <c r="L9" s="58"/>
      <c r="M9" s="58"/>
      <c r="N9" s="58"/>
      <c r="O9" s="58"/>
      <c r="P9" s="58"/>
      <c r="Q9" s="58"/>
    </row>
    <row r="10" spans="1:17" ht="16.5" customHeight="1">
      <c r="A10" s="58"/>
      <c r="B10" s="58" t="s">
        <v>501</v>
      </c>
      <c r="C10" s="58"/>
      <c r="D10" s="58"/>
      <c r="E10" s="550">
        <f>+'Revenue &amp; COGS Building'!H109</f>
        <v>0</v>
      </c>
      <c r="F10" s="99"/>
      <c r="G10" s="58"/>
      <c r="H10" s="58" t="s">
        <v>224</v>
      </c>
      <c r="I10" s="100">
        <f>+'Revenue &amp; COGS Building'!Z68</f>
        <v>0</v>
      </c>
      <c r="J10" s="557" t="s">
        <v>213</v>
      </c>
      <c r="K10" s="100">
        <f>+'Revenue &amp; COGS Building'!Z107</f>
        <v>0</v>
      </c>
      <c r="L10" s="58"/>
      <c r="M10" s="58"/>
      <c r="N10" s="58"/>
      <c r="O10" s="58"/>
      <c r="P10" s="58"/>
      <c r="Q10" s="58"/>
    </row>
    <row r="11" spans="1:17" ht="16.5" customHeight="1">
      <c r="A11" s="58"/>
      <c r="B11" s="58" t="s">
        <v>245</v>
      </c>
      <c r="C11" s="58"/>
      <c r="D11" s="58"/>
      <c r="E11" s="550" t="e">
        <f>+#REF!</f>
        <v>#REF!</v>
      </c>
      <c r="F11" s="99"/>
      <c r="G11" s="58"/>
      <c r="H11" s="58" t="s">
        <v>261</v>
      </c>
      <c r="I11" s="100">
        <f>+'Historicals &amp; Projections'!D63/('Historicals &amp; Projections'!D28+'Historicals &amp; Projections'!D22)</f>
        <v>6.9444444444444448E-2</v>
      </c>
      <c r="J11" s="557" t="s">
        <v>213</v>
      </c>
      <c r="K11" s="100">
        <f>AVERAGE(FIN!D52:H52)</f>
        <v>6.9444444444444448E-2</v>
      </c>
      <c r="L11" s="58"/>
      <c r="M11" s="58"/>
      <c r="N11" s="58"/>
      <c r="O11" s="58"/>
      <c r="P11" s="58"/>
      <c r="Q11" s="58"/>
    </row>
    <row r="12" spans="1:17" ht="16.5" customHeight="1">
      <c r="A12" s="58"/>
      <c r="B12" s="58" t="s">
        <v>498</v>
      </c>
      <c r="C12" s="58"/>
      <c r="D12" s="58"/>
      <c r="E12" s="550">
        <f>SUM(BS!E3:I3)</f>
        <v>0</v>
      </c>
      <c r="F12" s="99"/>
      <c r="G12" s="58"/>
      <c r="H12" s="58" t="s">
        <v>243</v>
      </c>
      <c r="I12" s="100">
        <f>+('Historicals &amp; Projections'!D42+'Historicals &amp; Projections'!D48)/'Historicals &amp; Projections'!D40</f>
        <v>0.11818181818181818</v>
      </c>
      <c r="J12" s="557" t="s">
        <v>213</v>
      </c>
      <c r="K12" s="100">
        <f>+(PL!I10+PL!I16)/PL!I8</f>
        <v>1.7331542056074771</v>
      </c>
      <c r="L12" s="58"/>
      <c r="M12" s="58"/>
      <c r="N12" s="58"/>
      <c r="O12" s="58"/>
      <c r="P12" s="58"/>
      <c r="Q12" s="58"/>
    </row>
    <row r="13" spans="1:17" ht="16.5" customHeight="1">
      <c r="A13" s="58"/>
      <c r="B13" s="58" t="s">
        <v>499</v>
      </c>
      <c r="C13" s="58"/>
      <c r="D13" s="58"/>
      <c r="E13" s="550">
        <f>SUM(CF!C3:G3)</f>
        <v>0</v>
      </c>
      <c r="F13" s="99"/>
      <c r="G13" s="58"/>
      <c r="H13" s="58" t="s">
        <v>513</v>
      </c>
      <c r="I13" s="100">
        <f>+'Historicals &amp; Projections'!D59/'Historicals &amp; Projections'!D17</f>
        <v>0.13333333333333333</v>
      </c>
      <c r="J13" s="557" t="s">
        <v>213</v>
      </c>
      <c r="K13" s="100">
        <f>+PL!P27/BS!P19</f>
        <v>1.8806744487678339E-2</v>
      </c>
      <c r="L13" s="58"/>
      <c r="M13" s="58"/>
      <c r="N13" s="58"/>
      <c r="O13" s="58"/>
      <c r="P13" s="58"/>
      <c r="Q13" s="58"/>
    </row>
    <row r="14" spans="1:17" ht="16.5" customHeight="1">
      <c r="A14" s="58"/>
      <c r="B14" s="58" t="s">
        <v>253</v>
      </c>
      <c r="C14" s="58"/>
      <c r="D14" s="58"/>
      <c r="E14" s="550">
        <f>+Overheads!C26</f>
        <v>0</v>
      </c>
      <c r="F14" s="99"/>
      <c r="G14" s="58"/>
      <c r="H14" s="58" t="s">
        <v>515</v>
      </c>
      <c r="I14" s="100">
        <f>+'Historicals &amp; Projections'!D17/'Historicals &amp; Projections'!D40</f>
        <v>6.8181818181818177E-2</v>
      </c>
      <c r="J14" s="557" t="s">
        <v>213</v>
      </c>
      <c r="K14" s="100">
        <f>+BS!P19/PL!P8</f>
        <v>1.3457454545454547E-2</v>
      </c>
      <c r="L14" s="58"/>
      <c r="M14" s="58"/>
      <c r="N14" s="58"/>
      <c r="O14" s="58"/>
      <c r="P14" s="58"/>
      <c r="Q14" s="58"/>
    </row>
    <row r="15" spans="1:17" ht="16.5" customHeight="1">
      <c r="A15" s="58"/>
      <c r="B15" s="58" t="s">
        <v>254</v>
      </c>
      <c r="C15" s="58"/>
      <c r="D15" s="58"/>
      <c r="E15" s="550">
        <f>+Overheads!C48</f>
        <v>0</v>
      </c>
      <c r="F15" s="99"/>
      <c r="G15" s="58"/>
      <c r="H15" s="58" t="s">
        <v>514</v>
      </c>
      <c r="I15" s="100">
        <f>+NWC!D28/'Historicals &amp; Projections'!D40</f>
        <v>4.0909090909090909E-2</v>
      </c>
      <c r="J15" s="557" t="s">
        <v>213</v>
      </c>
      <c r="K15" s="100">
        <f>+NWC!P28/PL!P8</f>
        <v>2.6744522058823527E-3</v>
      </c>
      <c r="L15" s="58"/>
      <c r="M15" s="58"/>
      <c r="N15" s="58"/>
      <c r="O15" s="58"/>
      <c r="P15" s="58"/>
      <c r="Q15" s="58"/>
    </row>
    <row r="16" spans="1:17" ht="15">
      <c r="A16" s="58"/>
      <c r="B16" s="58" t="s">
        <v>511</v>
      </c>
      <c r="C16" s="58"/>
      <c r="D16" s="58"/>
      <c r="E16" s="550">
        <f>+FIN!C37</f>
        <v>0</v>
      </c>
      <c r="F16" s="99"/>
      <c r="G16" s="58"/>
      <c r="H16" s="68"/>
      <c r="I16" s="68"/>
      <c r="J16" s="68"/>
      <c r="K16" s="58"/>
      <c r="L16" s="58"/>
      <c r="M16" s="58"/>
      <c r="N16" s="58"/>
      <c r="O16" s="58"/>
      <c r="P16" s="58"/>
      <c r="Q16" s="58"/>
    </row>
    <row r="17" spans="1:17" ht="15">
      <c r="A17" s="58"/>
      <c r="B17" s="58" t="s">
        <v>497</v>
      </c>
      <c r="C17" s="58"/>
      <c r="D17" s="59"/>
      <c r="E17" s="550" t="e">
        <f>+'Salaries &amp; Headcount'!#REF!</f>
        <v>#REF!</v>
      </c>
      <c r="F17" s="99"/>
      <c r="G17" s="58"/>
      <c r="H17" s="68"/>
      <c r="I17" s="68"/>
      <c r="J17" s="68"/>
      <c r="K17" s="58"/>
      <c r="L17" s="58"/>
      <c r="M17" s="58"/>
      <c r="N17" s="58"/>
      <c r="O17" s="58"/>
      <c r="P17" s="58"/>
      <c r="Q17" s="58"/>
    </row>
    <row r="18" spans="1:17" ht="15">
      <c r="A18" s="58"/>
      <c r="B18" s="58" t="s">
        <v>500</v>
      </c>
      <c r="C18" s="58"/>
      <c r="D18" s="59"/>
      <c r="E18" s="550">
        <f>SUM('Income Tax'!C28:D28)</f>
        <v>0</v>
      </c>
      <c r="F18" s="99"/>
      <c r="G18" s="58"/>
      <c r="H18" s="68"/>
      <c r="I18" s="68"/>
      <c r="J18" s="68"/>
      <c r="K18" s="58"/>
      <c r="L18" s="58"/>
      <c r="M18" s="58"/>
      <c r="N18" s="58"/>
      <c r="O18" s="58"/>
      <c r="P18" s="58"/>
      <c r="Q18" s="58"/>
    </row>
    <row r="19" spans="1:17" ht="15">
      <c r="A19" s="58"/>
      <c r="B19" s="58"/>
      <c r="C19" s="58"/>
      <c r="D19" s="59"/>
      <c r="E19" s="58"/>
      <c r="F19" s="58"/>
      <c r="G19" s="58"/>
      <c r="H19" s="68"/>
      <c r="I19" s="68"/>
      <c r="J19" s="68"/>
      <c r="K19" s="58"/>
      <c r="L19" s="58"/>
      <c r="M19" s="58"/>
      <c r="N19" s="58"/>
      <c r="O19" s="58"/>
      <c r="P19" s="58"/>
      <c r="Q19" s="58"/>
    </row>
    <row r="20" spans="1:17" ht="15">
      <c r="A20" s="58"/>
      <c r="B20" s="58"/>
      <c r="C20" s="58"/>
      <c r="D20" s="59"/>
      <c r="E20" s="58"/>
      <c r="F20" s="58"/>
      <c r="G20" s="58"/>
      <c r="H20" s="68"/>
      <c r="I20" s="68"/>
      <c r="J20" s="68"/>
      <c r="K20" s="58"/>
      <c r="L20" s="58"/>
      <c r="M20" s="58"/>
      <c r="N20" s="58"/>
      <c r="O20" s="58"/>
      <c r="P20" s="58"/>
      <c r="Q20" s="58"/>
    </row>
    <row r="21" spans="1:17" ht="15">
      <c r="A21" s="58"/>
      <c r="B21" s="58"/>
      <c r="C21" s="58"/>
      <c r="D21" s="59"/>
      <c r="E21" s="58"/>
      <c r="F21" s="58"/>
      <c r="G21" s="58"/>
      <c r="H21" s="68"/>
      <c r="I21" s="68"/>
      <c r="J21" s="68"/>
      <c r="K21" s="58"/>
      <c r="L21" s="58"/>
      <c r="M21" s="58"/>
      <c r="N21" s="58"/>
      <c r="O21" s="58"/>
      <c r="P21" s="58"/>
      <c r="Q21" s="58"/>
    </row>
    <row r="22" spans="1:17" ht="15">
      <c r="A22" s="58"/>
      <c r="B22" s="58"/>
      <c r="C22" s="58"/>
      <c r="D22" s="59"/>
      <c r="E22" s="58"/>
      <c r="F22" s="58"/>
      <c r="G22" s="58"/>
      <c r="H22" s="68"/>
      <c r="I22" s="68"/>
      <c r="J22" s="68"/>
      <c r="K22" s="58"/>
      <c r="L22" s="58"/>
      <c r="M22" s="58"/>
      <c r="N22" s="58"/>
      <c r="O22" s="58"/>
      <c r="P22" s="58"/>
      <c r="Q22" s="58"/>
    </row>
    <row r="23" spans="1:17" ht="15">
      <c r="A23" s="58"/>
      <c r="B23" s="58"/>
      <c r="C23" s="58"/>
      <c r="D23" s="59"/>
      <c r="E23" s="58"/>
      <c r="F23" s="58"/>
      <c r="G23" s="58"/>
      <c r="H23" s="68"/>
      <c r="I23" s="68"/>
      <c r="J23" s="68"/>
      <c r="K23" s="58"/>
      <c r="L23" s="58"/>
      <c r="M23" s="58"/>
      <c r="N23" s="58"/>
      <c r="O23" s="58"/>
      <c r="P23" s="58"/>
      <c r="Q23" s="58"/>
    </row>
    <row r="24" spans="1:17" ht="15">
      <c r="A24" s="58"/>
      <c r="B24" s="58"/>
      <c r="C24" s="58"/>
      <c r="D24" s="58"/>
      <c r="E24" s="58"/>
      <c r="F24" s="58"/>
      <c r="G24" s="58"/>
      <c r="H24" s="68"/>
      <c r="I24" s="68"/>
      <c r="J24" s="68"/>
      <c r="K24" s="58"/>
      <c r="L24" s="58"/>
      <c r="M24" s="58"/>
      <c r="N24" s="58"/>
      <c r="O24" s="58"/>
      <c r="P24" s="58"/>
      <c r="Q24" s="58"/>
    </row>
    <row r="25" spans="1:17" ht="15">
      <c r="A25" s="58"/>
      <c r="B25" s="58"/>
      <c r="C25" s="58"/>
      <c r="D25" s="58"/>
      <c r="E25" s="58"/>
      <c r="F25" s="58"/>
      <c r="G25" s="58"/>
      <c r="H25" s="68"/>
      <c r="I25" s="68"/>
      <c r="J25" s="68"/>
      <c r="K25" s="58"/>
      <c r="L25" s="58"/>
      <c r="M25" s="58"/>
      <c r="N25" s="58"/>
      <c r="O25" s="58"/>
      <c r="P25" s="58"/>
      <c r="Q25" s="58"/>
    </row>
    <row r="26" spans="1:17" ht="17.25" customHeight="1">
      <c r="A26" s="58"/>
      <c r="B26" s="58"/>
      <c r="C26" s="58"/>
      <c r="D26" s="58"/>
      <c r="E26" s="58"/>
      <c r="F26" s="58"/>
      <c r="G26" s="58"/>
      <c r="H26" s="68"/>
      <c r="I26" s="68"/>
      <c r="J26" s="68"/>
      <c r="K26" s="58"/>
      <c r="L26" s="58"/>
      <c r="M26" s="58"/>
      <c r="N26" s="58"/>
      <c r="O26" s="58"/>
      <c r="P26" s="58"/>
      <c r="Q26" s="58"/>
    </row>
    <row r="27" spans="1:17" ht="17.25" customHeight="1">
      <c r="A27" s="58"/>
      <c r="B27" s="58"/>
      <c r="C27" s="58"/>
      <c r="D27" s="58"/>
      <c r="E27" s="58"/>
      <c r="F27" s="58"/>
      <c r="G27" s="58"/>
      <c r="H27" s="68"/>
      <c r="I27" s="68"/>
      <c r="J27" s="68"/>
      <c r="K27" s="58"/>
      <c r="L27" s="58"/>
      <c r="M27" s="58"/>
      <c r="N27" s="58"/>
      <c r="O27" s="58"/>
      <c r="P27" s="58"/>
      <c r="Q27" s="58"/>
    </row>
    <row r="28" spans="1:17" ht="17.25" customHeight="1">
      <c r="A28" s="58"/>
      <c r="B28" s="58"/>
      <c r="C28" s="58"/>
      <c r="D28" s="58"/>
      <c r="E28" s="58"/>
      <c r="F28" s="58"/>
      <c r="G28" s="58"/>
      <c r="H28" s="68"/>
      <c r="I28" s="68"/>
      <c r="J28" s="68"/>
      <c r="K28" s="58"/>
      <c r="L28" s="58"/>
      <c r="M28" s="58"/>
      <c r="N28" s="58"/>
      <c r="O28" s="58"/>
      <c r="P28" s="58"/>
      <c r="Q28" s="58"/>
    </row>
    <row r="29" spans="1:17" ht="17.2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7.25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17.2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ht="17.25" customHeight="1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1:17" ht="17.2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1:17" ht="1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1:17" ht="15">
      <c r="A35" s="58"/>
      <c r="B35" s="58"/>
      <c r="C35" s="58"/>
      <c r="D35" s="59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D24"/>
  <sheetViews>
    <sheetView showGridLines="0" zoomScaleNormal="100" workbookViewId="0">
      <selection activeCell="D13" sqref="D13"/>
    </sheetView>
  </sheetViews>
  <sheetFormatPr baseColWidth="10" defaultColWidth="8.83203125" defaultRowHeight="14"/>
  <cols>
    <col min="1" max="1" width="9.83203125" style="3" customWidth="1"/>
    <col min="2" max="2" width="52" style="3" customWidth="1"/>
    <col min="3" max="3" width="20.5" style="5" customWidth="1"/>
    <col min="4" max="16384" width="8.83203125" style="3"/>
  </cols>
  <sheetData>
    <row r="1" spans="1:4" s="300" customFormat="1" ht="16">
      <c r="A1" s="312" t="s">
        <v>172</v>
      </c>
      <c r="B1" s="299"/>
      <c r="C1" s="298"/>
      <c r="D1" s="298"/>
    </row>
    <row r="2" spans="1:4" s="4" customFormat="1" ht="15">
      <c r="A2" s="56"/>
      <c r="B2" s="56"/>
      <c r="C2" s="56"/>
      <c r="D2" s="56"/>
    </row>
    <row r="3" spans="1:4" s="4" customFormat="1" ht="15">
      <c r="A3" s="56"/>
      <c r="B3" s="57" t="s">
        <v>0</v>
      </c>
      <c r="C3" s="536" t="s">
        <v>384</v>
      </c>
      <c r="D3" s="56"/>
    </row>
    <row r="4" spans="1:4" s="4" customFormat="1" ht="15">
      <c r="A4" s="56"/>
      <c r="B4" s="58" t="s">
        <v>1</v>
      </c>
      <c r="C4" s="537" t="s">
        <v>523</v>
      </c>
      <c r="D4" s="56"/>
    </row>
    <row r="5" spans="1:4" s="4" customFormat="1" ht="15">
      <c r="A5" s="56"/>
      <c r="B5" s="58" t="s">
        <v>2</v>
      </c>
      <c r="C5" s="538">
        <v>2025</v>
      </c>
      <c r="D5" s="56"/>
    </row>
    <row r="6" spans="1:4" s="4" customFormat="1" ht="15">
      <c r="A6" s="56"/>
      <c r="B6" s="58" t="s">
        <v>545</v>
      </c>
      <c r="C6" s="538">
        <v>12</v>
      </c>
      <c r="D6" s="56"/>
    </row>
    <row r="7" spans="1:4" s="4" customFormat="1" ht="15">
      <c r="A7" s="56"/>
      <c r="B7" s="58" t="s">
        <v>3</v>
      </c>
      <c r="C7" s="456">
        <f>15%</f>
        <v>0.15</v>
      </c>
      <c r="D7" s="56"/>
    </row>
    <row r="8" spans="1:4" s="4" customFormat="1" ht="15">
      <c r="A8" s="56"/>
      <c r="B8" s="58" t="s">
        <v>118</v>
      </c>
      <c r="C8" s="456">
        <f>10%</f>
        <v>0.1</v>
      </c>
      <c r="D8" s="56"/>
    </row>
    <row r="9" spans="1:4" ht="15">
      <c r="A9" s="58"/>
      <c r="B9" s="58" t="s">
        <v>4</v>
      </c>
      <c r="C9" s="539">
        <f>+WACC!C33</f>
        <v>0.26509188499999992</v>
      </c>
      <c r="D9" s="58"/>
    </row>
    <row r="10" spans="1:4" ht="15">
      <c r="A10" s="58"/>
      <c r="B10" s="58" t="s">
        <v>260</v>
      </c>
      <c r="C10" s="540">
        <f>+'DCF '!C10</f>
        <v>1.4999999999999999E-2</v>
      </c>
      <c r="D10" s="58"/>
    </row>
    <row r="11" spans="1:4" ht="15">
      <c r="A11" s="58"/>
      <c r="B11" s="58" t="s">
        <v>188</v>
      </c>
      <c r="C11" s="538">
        <f>16</f>
        <v>16</v>
      </c>
      <c r="D11" s="58"/>
    </row>
    <row r="12" spans="1:4" ht="15">
      <c r="A12" s="58"/>
      <c r="B12" s="58" t="s">
        <v>187</v>
      </c>
      <c r="C12" s="538">
        <f>16</f>
        <v>16</v>
      </c>
      <c r="D12" s="58"/>
    </row>
    <row r="13" spans="1:4" ht="15">
      <c r="A13" s="58"/>
      <c r="B13" s="58" t="s">
        <v>196</v>
      </c>
      <c r="C13" s="538">
        <f>16</f>
        <v>16</v>
      </c>
      <c r="D13" s="58"/>
    </row>
    <row r="14" spans="1:4" ht="15">
      <c r="A14" s="58"/>
      <c r="B14" s="58" t="s">
        <v>222</v>
      </c>
      <c r="C14" s="456">
        <f>6%</f>
        <v>0.06</v>
      </c>
      <c r="D14" s="58"/>
    </row>
    <row r="15" spans="1:4" ht="15">
      <c r="A15" s="58"/>
      <c r="B15" s="58" t="s">
        <v>221</v>
      </c>
      <c r="C15" s="541">
        <f>+'Ratio Analysis'!D7</f>
        <v>0.38181818181818183</v>
      </c>
      <c r="D15" s="58"/>
    </row>
    <row r="16" spans="1:4" ht="15">
      <c r="A16" s="58"/>
      <c r="B16" s="58" t="s">
        <v>496</v>
      </c>
      <c r="C16" s="538">
        <f>1400</f>
        <v>1400</v>
      </c>
      <c r="D16" s="58"/>
    </row>
    <row r="17" spans="1:4" ht="15">
      <c r="A17" s="58"/>
      <c r="B17" s="58"/>
      <c r="C17" s="59"/>
      <c r="D17" s="58"/>
    </row>
    <row r="18" spans="1:4" ht="15">
      <c r="A18" s="58"/>
      <c r="B18" s="58"/>
      <c r="C18" s="59"/>
      <c r="D18" s="58"/>
    </row>
    <row r="19" spans="1:4" ht="15">
      <c r="A19" s="58"/>
      <c r="B19" s="58"/>
      <c r="C19" s="59"/>
      <c r="D19" s="58"/>
    </row>
    <row r="20" spans="1:4" ht="15">
      <c r="A20" s="58"/>
      <c r="B20" s="58"/>
      <c r="C20" s="59"/>
      <c r="D20" s="58"/>
    </row>
    <row r="21" spans="1:4" ht="15">
      <c r="A21" s="58"/>
      <c r="B21" s="58"/>
      <c r="C21" s="59"/>
      <c r="D21" s="58"/>
    </row>
    <row r="22" spans="1:4" ht="15">
      <c r="A22" s="58"/>
      <c r="B22" s="58"/>
      <c r="C22" s="59"/>
      <c r="D22" s="58"/>
    </row>
    <row r="23" spans="1:4" ht="15">
      <c r="A23" s="58"/>
      <c r="B23" s="58"/>
      <c r="C23" s="59"/>
      <c r="D23" s="58"/>
    </row>
    <row r="24" spans="1:4" ht="15">
      <c r="A24" s="58"/>
      <c r="B24" s="58"/>
      <c r="C24" s="59"/>
      <c r="D24" s="5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XEK113"/>
  <sheetViews>
    <sheetView showGridLines="0" workbookViewId="0">
      <pane ySplit="3" topLeftCell="A36" activePane="bottomLeft" state="frozen"/>
      <selection pane="bottomLeft" activeCell="J10" sqref="J10"/>
    </sheetView>
  </sheetViews>
  <sheetFormatPr baseColWidth="10" defaultColWidth="8.83203125" defaultRowHeight="14"/>
  <cols>
    <col min="1" max="1" width="2.6640625" style="5" customWidth="1"/>
    <col min="2" max="2" width="44.5" style="3" customWidth="1"/>
    <col min="3" max="3" width="15.83203125" style="3" customWidth="1"/>
    <col min="4" max="4" width="14.6640625" style="3" customWidth="1"/>
    <col min="5" max="5" width="14" style="3" customWidth="1"/>
    <col min="6" max="6" width="8.1640625" style="3" customWidth="1"/>
    <col min="7" max="7" width="14.33203125" style="3" customWidth="1"/>
    <col min="8" max="9" width="14" style="3" customWidth="1"/>
    <col min="10" max="10" width="6.6640625" style="3" customWidth="1"/>
    <col min="11" max="11" width="5.6640625" style="3" customWidth="1"/>
    <col min="12" max="12" width="32.83203125" style="3" customWidth="1"/>
    <col min="13" max="16384" width="8.83203125" style="3"/>
  </cols>
  <sheetData>
    <row r="1" spans="1:11" s="300" customFormat="1" ht="16">
      <c r="A1" s="297" t="s">
        <v>571</v>
      </c>
      <c r="B1" s="298"/>
      <c r="C1" s="298"/>
      <c r="D1" s="298"/>
      <c r="E1" s="298"/>
      <c r="F1" s="298"/>
      <c r="G1" s="298"/>
      <c r="H1" s="298"/>
      <c r="I1" s="298"/>
    </row>
    <row r="2" spans="1:11" s="4" customFormat="1" ht="15">
      <c r="A2" s="65"/>
      <c r="B2" s="56"/>
      <c r="C2" s="56"/>
      <c r="D2" s="222"/>
      <c r="E2" s="56"/>
      <c r="F2" s="56"/>
      <c r="G2" s="56"/>
      <c r="I2" s="56"/>
    </row>
    <row r="3" spans="1:11" s="4" customFormat="1" ht="15">
      <c r="A3" s="65"/>
      <c r="B3" s="66" t="s">
        <v>21</v>
      </c>
      <c r="C3" s="67">
        <f>+C19-C32</f>
        <v>0</v>
      </c>
      <c r="D3" s="67">
        <f>+D19-D32</f>
        <v>0</v>
      </c>
      <c r="E3" s="67">
        <f>+E19-E32</f>
        <v>0</v>
      </c>
      <c r="F3" s="67">
        <f t="shared" ref="F3" si="0">+F19-F32</f>
        <v>0</v>
      </c>
      <c r="G3" s="67">
        <f>+G19-G32</f>
        <v>0</v>
      </c>
      <c r="H3" s="67">
        <f t="shared" ref="H3:I3" si="1">+H19-H32</f>
        <v>0</v>
      </c>
      <c r="I3" s="67">
        <f t="shared" si="1"/>
        <v>0</v>
      </c>
    </row>
    <row r="4" spans="1:11" s="4" customFormat="1" ht="15">
      <c r="A4" s="65"/>
      <c r="B4" s="56"/>
      <c r="C4" s="162" t="s">
        <v>549</v>
      </c>
      <c r="E4" s="56"/>
      <c r="F4" s="56"/>
      <c r="G4" s="162" t="s">
        <v>570</v>
      </c>
      <c r="H4" s="56"/>
      <c r="I4" s="56"/>
    </row>
    <row r="5" spans="1:11" s="4" customFormat="1" ht="15">
      <c r="A5" s="65"/>
      <c r="B5" s="56"/>
      <c r="C5" s="162"/>
      <c r="D5" s="56"/>
      <c r="E5" s="56"/>
      <c r="F5" s="56"/>
      <c r="G5" s="162">
        <v>1</v>
      </c>
      <c r="H5" s="58">
        <f>1+G5</f>
        <v>2</v>
      </c>
      <c r="I5" s="58">
        <f>1+H5</f>
        <v>3</v>
      </c>
    </row>
    <row r="6" spans="1:11" s="4" customFormat="1" ht="16" thickBot="1">
      <c r="A6" s="65"/>
      <c r="B6" s="341" t="s">
        <v>7</v>
      </c>
      <c r="C6" s="343">
        <f>+D6-1</f>
        <v>2024</v>
      </c>
      <c r="D6" s="343">
        <f>+Assumptions!C5</f>
        <v>2025</v>
      </c>
      <c r="E6" s="362" t="s">
        <v>325</v>
      </c>
      <c r="F6" s="362"/>
      <c r="G6" s="362">
        <f>D6+1</f>
        <v>2026</v>
      </c>
      <c r="H6" s="362">
        <f>G6+1</f>
        <v>2027</v>
      </c>
      <c r="I6" s="362">
        <f>H6+1</f>
        <v>2028</v>
      </c>
    </row>
    <row r="7" spans="1:11" s="4" customFormat="1" ht="15">
      <c r="A7" s="65"/>
      <c r="B7" s="58"/>
      <c r="C7" s="58"/>
      <c r="D7" s="58"/>
      <c r="E7" s="70"/>
      <c r="F7" s="68"/>
      <c r="G7" s="58"/>
      <c r="H7" s="56"/>
      <c r="I7" s="56"/>
    </row>
    <row r="8" spans="1:11" s="4" customFormat="1" ht="15">
      <c r="A8" s="65"/>
      <c r="B8" s="71" t="s">
        <v>11</v>
      </c>
      <c r="C8" s="457">
        <f>225+150-200</f>
        <v>175</v>
      </c>
      <c r="D8" s="457">
        <f>+D100</f>
        <v>1310</v>
      </c>
      <c r="E8" s="474">
        <f>+D8-C8</f>
        <v>1135</v>
      </c>
      <c r="F8" s="68"/>
      <c r="G8" s="442">
        <f>IF(AND(MOD(BS!P$6, 12) = 0, G$5=1), BS!P10, 0)</f>
        <v>-1040915.7331376731</v>
      </c>
      <c r="H8" s="442">
        <f>IF(AND(MOD(BS!AB$6, 12) = 0, H$5=2), BS!AB10, 0)</f>
        <v>-2879200.6992215086</v>
      </c>
      <c r="I8" s="442">
        <f>IF(AND(MOD(BS!AN$6, 12) = 0, I$5=3), BS!AN10, 0)</f>
        <v>-3730684.6839651708</v>
      </c>
      <c r="K8" s="8"/>
    </row>
    <row r="9" spans="1:11" s="4" customFormat="1" ht="15">
      <c r="A9" s="65"/>
      <c r="B9" s="71" t="s">
        <v>13</v>
      </c>
      <c r="C9" s="457">
        <v>450</v>
      </c>
      <c r="D9" s="457">
        <f>500</f>
        <v>500</v>
      </c>
      <c r="E9" s="474">
        <f>+D9-C9</f>
        <v>50</v>
      </c>
      <c r="F9" s="68"/>
      <c r="G9" s="442">
        <f>IF(MOD(BS!P$6, 12) = 0, BS!P11, 0)</f>
        <v>412.32638888888886</v>
      </c>
      <c r="H9" s="442">
        <f>IF(AND(MOD(BS!AB$6, 12) = 0, H$5=2), BS!AB11, 0)</f>
        <v>1312.7872474747476</v>
      </c>
      <c r="I9" s="442">
        <f>IF(AND(MOD(BS!AN$6, 12) = 0, I$5=3), BS!AN11, 0)</f>
        <v>2242.7256944444443</v>
      </c>
      <c r="K9" s="8"/>
    </row>
    <row r="10" spans="1:11" s="4" customFormat="1" ht="15">
      <c r="A10" s="65"/>
      <c r="B10" s="71" t="s">
        <v>12</v>
      </c>
      <c r="C10" s="457">
        <v>200</v>
      </c>
      <c r="D10" s="457">
        <f>300</f>
        <v>300</v>
      </c>
      <c r="E10" s="474">
        <f>+D10-C10</f>
        <v>100</v>
      </c>
      <c r="F10" s="68"/>
      <c r="G10" s="442">
        <f>IF(MOD(BS!P$6, 12) = 0, BS!P12, 0)</f>
        <v>243.29593035130728</v>
      </c>
      <c r="H10" s="442">
        <f>IF(AND(MOD(BS!AB$6, 12) = 0, H$5=2), BS!AB12, 0)</f>
        <v>776.21693729575168</v>
      </c>
      <c r="I10" s="442">
        <f>IF(AND(MOD(BS!AN$6, 12) = 0, I$5=3), BS!AN12, 0)</f>
        <v>1310.8739915236931</v>
      </c>
    </row>
    <row r="11" spans="1:11" s="4" customFormat="1" ht="15">
      <c r="A11" s="65"/>
      <c r="B11" s="71" t="s">
        <v>308</v>
      </c>
      <c r="C11" s="457">
        <f>100</f>
        <v>100</v>
      </c>
      <c r="D11" s="457">
        <v>150</v>
      </c>
      <c r="E11" s="474">
        <f>+D11-C11</f>
        <v>50</v>
      </c>
      <c r="F11" s="68"/>
      <c r="G11" s="442">
        <f>IF(MOD(BS!P$6, 12) = 0, BS!P13, 0)</f>
        <v>130.20833333333331</v>
      </c>
      <c r="H11" s="442">
        <f>IF(AND(MOD(BS!AB$6, 12) = 0, H$5=2), BS!AB13, 0)</f>
        <v>414.56439393939394</v>
      </c>
      <c r="I11" s="442">
        <f>IF(AND(MOD(BS!AN$6, 12) = 0, I$5=3), BS!AN13, 0)</f>
        <v>708.22916666666663</v>
      </c>
      <c r="K11" s="8"/>
    </row>
    <row r="12" spans="1:11" s="4" customFormat="1" ht="15">
      <c r="A12" s="65"/>
      <c r="B12" s="72" t="s">
        <v>9</v>
      </c>
      <c r="C12" s="455">
        <f>SUM(C8:C11)</f>
        <v>925</v>
      </c>
      <c r="D12" s="455">
        <f>SUM(D8:D11)</f>
        <v>2260</v>
      </c>
      <c r="E12" s="455">
        <f>+D12-C12</f>
        <v>1335</v>
      </c>
      <c r="F12" s="68"/>
      <c r="G12" s="443">
        <f>IF(MOD(BS!P$6, 12) = 0, BS!P14, 0)</f>
        <v>-1040129.9024850995</v>
      </c>
      <c r="H12" s="442">
        <f>IF(AND(MOD(BS!AB$6, 12) = 0, H$5=2), BS!AB14, 0)</f>
        <v>-2876697.1306427987</v>
      </c>
      <c r="I12" s="442">
        <f>IF(AND(MOD(BS!AN$6, 12) = 0, I$5=3), BS!AN14, 0)</f>
        <v>-3726422.8551125359</v>
      </c>
    </row>
    <row r="13" spans="1:11" s="4" customFormat="1" ht="15">
      <c r="A13" s="65"/>
      <c r="B13" s="58"/>
      <c r="C13" s="73"/>
      <c r="D13" s="73"/>
      <c r="E13" s="73"/>
      <c r="F13" s="68"/>
      <c r="G13" s="56"/>
      <c r="H13" s="542"/>
      <c r="I13" s="542"/>
    </row>
    <row r="14" spans="1:11" s="4" customFormat="1" ht="15">
      <c r="A14" s="65"/>
      <c r="B14" s="71" t="s">
        <v>14</v>
      </c>
      <c r="C14" s="457">
        <f>100</f>
        <v>100</v>
      </c>
      <c r="D14" s="457">
        <f>200</f>
        <v>200</v>
      </c>
      <c r="E14" s="474">
        <f>+D14-C14</f>
        <v>100</v>
      </c>
      <c r="F14" s="68"/>
      <c r="G14" s="442">
        <f>IF(MOD(BS!P$6, 12) = 0, BS!P16, 0)</f>
        <v>616</v>
      </c>
      <c r="H14" s="442">
        <f>IF(AND(MOD(BS!AB$6, 12) = 0, H$5=2), BS!AB16, 0)</f>
        <v>462</v>
      </c>
      <c r="I14" s="442">
        <f>IF(AND(MOD(BS!AN$6, 12) = 0, I$5=3), BS!AN16, 0)</f>
        <v>308</v>
      </c>
    </row>
    <row r="15" spans="1:11" s="4" customFormat="1" ht="15">
      <c r="A15" s="65"/>
      <c r="B15" s="71" t="s">
        <v>15</v>
      </c>
      <c r="C15" s="457">
        <f>300</f>
        <v>300</v>
      </c>
      <c r="D15" s="457">
        <f>400</f>
        <v>400</v>
      </c>
      <c r="E15" s="474">
        <f>+D15-C15</f>
        <v>100</v>
      </c>
      <c r="F15" s="68"/>
      <c r="G15" s="442">
        <f>IF(MOD(BS!P$6, 12) = 0, BS!P17, 0)</f>
        <v>776</v>
      </c>
      <c r="H15" s="442">
        <f>IF(AND(MOD(BS!AB$6, 12) = 0, H$5=2), BS!AB17, 0)</f>
        <v>14873.666666666666</v>
      </c>
      <c r="I15" s="442">
        <f>IF(AND(MOD(BS!AN$6, 12) = 0, I$5=3), BS!AN17, 0)</f>
        <v>75179.666666666672</v>
      </c>
    </row>
    <row r="16" spans="1:11" s="4" customFormat="1" ht="15">
      <c r="A16" s="65"/>
      <c r="B16" s="71" t="s">
        <v>307</v>
      </c>
      <c r="C16" s="457">
        <f>100</f>
        <v>100</v>
      </c>
      <c r="D16" s="457">
        <v>150</v>
      </c>
      <c r="E16" s="474">
        <f>+D16-C16</f>
        <v>50</v>
      </c>
      <c r="F16" s="68"/>
      <c r="G16" s="442">
        <f>IF(MOD(BS!P$6, 12) = 0, BS!P18, 0)</f>
        <v>150</v>
      </c>
      <c r="H16" s="442">
        <f>IF(AND(MOD(BS!AB$6, 12) = 0, H$5=2), BS!AB18, 0)</f>
        <v>150</v>
      </c>
      <c r="I16" s="442">
        <f>IF(AND(MOD(BS!AN$6, 12) = 0, I$5=3), BS!AN18, 0)</f>
        <v>150</v>
      </c>
    </row>
    <row r="17" spans="1:16" s="4" customFormat="1" ht="15">
      <c r="A17" s="65"/>
      <c r="B17" s="72" t="s">
        <v>327</v>
      </c>
      <c r="C17" s="455">
        <f>SUM(C14:C16)</f>
        <v>500</v>
      </c>
      <c r="D17" s="455">
        <f>SUM(D14:D16)</f>
        <v>750</v>
      </c>
      <c r="E17" s="455">
        <f>+D17-C17</f>
        <v>250</v>
      </c>
      <c r="F17" s="68"/>
      <c r="G17" s="443">
        <f>IF(MOD(BS!P$6, 12) = 0, BS!P19, 0)</f>
        <v>1542</v>
      </c>
      <c r="H17" s="442">
        <f>IF(AND(MOD(BS!AB$6, 12) = 0, H$5=2), BS!AB19, 0)</f>
        <v>15485.666666666666</v>
      </c>
      <c r="I17" s="442">
        <f>IF(AND(MOD(BS!AN$6, 12) = 0, I$5=3), BS!AN19, 0)</f>
        <v>75637.666666666672</v>
      </c>
    </row>
    <row r="18" spans="1:16" s="4" customFormat="1" ht="15">
      <c r="A18" s="65"/>
      <c r="B18" s="58"/>
      <c r="C18" s="73"/>
      <c r="D18" s="73"/>
      <c r="E18" s="73"/>
      <c r="F18" s="68"/>
      <c r="G18" s="56"/>
      <c r="H18" s="542"/>
      <c r="I18" s="542"/>
    </row>
    <row r="19" spans="1:16" s="4" customFormat="1" ht="15">
      <c r="A19" s="65"/>
      <c r="B19" s="74" t="s">
        <v>10</v>
      </c>
      <c r="C19" s="460">
        <f>+C17+C12</f>
        <v>1425</v>
      </c>
      <c r="D19" s="460">
        <f>+D17+D12</f>
        <v>3010</v>
      </c>
      <c r="E19" s="460">
        <f>+D19-C19</f>
        <v>1585</v>
      </c>
      <c r="F19" s="68"/>
      <c r="G19" s="494">
        <f>IF(MOD(BS!P$6, 12) = 0, BS!P21, 0)</f>
        <v>-1038587.9024850995</v>
      </c>
      <c r="H19" s="442">
        <f>IF(AND(MOD(BS!AB$6, 12) = 0, H$5=2), BS!AB21, 0)</f>
        <v>-2861211.4639761322</v>
      </c>
      <c r="I19" s="442">
        <f>IF(AND(MOD(BS!AN$6, 12) = 0, I$5=3), BS!AN21, 0)</f>
        <v>-3650785.1884458694</v>
      </c>
    </row>
    <row r="20" spans="1:16" s="4" customFormat="1" ht="15">
      <c r="A20" s="65"/>
      <c r="B20" s="58"/>
      <c r="C20" s="73"/>
      <c r="D20" s="73"/>
      <c r="E20" s="73"/>
      <c r="F20" s="68"/>
      <c r="G20" s="58"/>
      <c r="H20" s="542"/>
      <c r="I20" s="542"/>
    </row>
    <row r="21" spans="1:16" ht="15">
      <c r="A21" s="59"/>
      <c r="B21" s="71" t="s">
        <v>17</v>
      </c>
      <c r="C21" s="457">
        <f>100</f>
        <v>100</v>
      </c>
      <c r="D21" s="457">
        <v>350</v>
      </c>
      <c r="E21" s="474">
        <f>+D21-C21</f>
        <v>250</v>
      </c>
      <c r="F21" s="68"/>
      <c r="G21" s="442">
        <f>IF(MOD(BS!P$6, 12) = 0, BS!P23, 0)</f>
        <v>218.96633731617655</v>
      </c>
      <c r="H21" s="442">
        <f>IF(AND(MOD(BS!AB$6, 12) = 0, H$5=2), BS!AB23, 0)</f>
        <v>698.59524356617646</v>
      </c>
      <c r="I21" s="442">
        <f>IF(AND(MOD(BS!AN$6, 12) = 0, I$5=3), BS!AN23, 0)</f>
        <v>1179.7865923713236</v>
      </c>
      <c r="P21" s="4"/>
    </row>
    <row r="22" spans="1:16" ht="15">
      <c r="A22" s="59"/>
      <c r="B22" s="71" t="s">
        <v>18</v>
      </c>
      <c r="C22" s="457">
        <f>200</f>
        <v>200</v>
      </c>
      <c r="D22" s="457">
        <v>200</v>
      </c>
      <c r="E22" s="474">
        <f>+D22-C22</f>
        <v>0</v>
      </c>
      <c r="F22" s="68"/>
      <c r="G22" s="442">
        <f>IF(MOD(BS!P$6, 12) = 0, BS!P24, 0)</f>
        <v>200</v>
      </c>
      <c r="H22" s="442">
        <f>IF(AND(MOD(BS!AB$6, 12) = 0, H$5=2), BS!AB24, 0)</f>
        <v>200</v>
      </c>
      <c r="I22" s="442">
        <f>IF(AND(MOD(BS!AN$6, 12) = 0, I$5=3), BS!AN24, 0)</f>
        <v>200</v>
      </c>
      <c r="P22" s="4"/>
    </row>
    <row r="23" spans="1:16" ht="15">
      <c r="A23" s="59"/>
      <c r="B23" s="71" t="s">
        <v>19</v>
      </c>
      <c r="C23" s="457">
        <f>125</f>
        <v>125</v>
      </c>
      <c r="D23" s="457">
        <v>150</v>
      </c>
      <c r="E23" s="474">
        <f>+D23-C23</f>
        <v>25</v>
      </c>
      <c r="F23" s="68"/>
      <c r="G23" s="442">
        <f>IF(MOD(BS!P$6, 12) = 0, BS!P25, 0)</f>
        <v>130.20833333333331</v>
      </c>
      <c r="H23" s="442">
        <f>IF(AND(MOD(BS!AB$6, 12) = 0, H$5=2), BS!AB25, 0)</f>
        <v>414.56439393939394</v>
      </c>
      <c r="I23" s="442">
        <f>IF(AND(MOD(BS!AN$6, 12) = 0, I$5=3), BS!AN25, 0)</f>
        <v>708.22916666666663</v>
      </c>
      <c r="P23" s="4"/>
    </row>
    <row r="24" spans="1:16" ht="15">
      <c r="A24" s="59"/>
      <c r="B24" s="72" t="s">
        <v>20</v>
      </c>
      <c r="C24" s="455">
        <f>SUM(C21:C23)</f>
        <v>425</v>
      </c>
      <c r="D24" s="455">
        <f>SUM(D21:D23)</f>
        <v>700</v>
      </c>
      <c r="E24" s="455">
        <f>+D24-C24</f>
        <v>275</v>
      </c>
      <c r="F24" s="68"/>
      <c r="G24" s="443">
        <f>IF(MOD(BS!P$6, 12) = 0, BS!P26, 0)</f>
        <v>549.17467064950984</v>
      </c>
      <c r="H24" s="442">
        <f>IF(AND(MOD(BS!AB$6, 12) = 0, H$5=2), BS!AB26, 0)</f>
        <v>1313.1596375055703</v>
      </c>
      <c r="I24" s="442">
        <f>IF(AND(MOD(BS!AN$6, 12) = 0, I$5=3), BS!AN26, 0)</f>
        <v>2088.0157590379904</v>
      </c>
      <c r="P24" s="4"/>
    </row>
    <row r="25" spans="1:16" ht="15">
      <c r="A25" s="59"/>
      <c r="B25" s="58"/>
      <c r="C25" s="73"/>
      <c r="D25" s="73"/>
      <c r="E25" s="73"/>
      <c r="F25" s="68"/>
      <c r="G25" s="58"/>
      <c r="H25" s="542"/>
      <c r="I25" s="542"/>
      <c r="P25" s="4"/>
    </row>
    <row r="26" spans="1:16" ht="15">
      <c r="A26" s="59"/>
      <c r="B26" s="71" t="s">
        <v>305</v>
      </c>
      <c r="C26" s="457">
        <v>250</v>
      </c>
      <c r="D26" s="457">
        <v>250</v>
      </c>
      <c r="E26" s="474">
        <f>+D26-C26</f>
        <v>0</v>
      </c>
      <c r="F26" s="68"/>
      <c r="G26" s="442">
        <f>IF(MOD(BS!P$6, 12) = 0, BS!P28, 0)</f>
        <v>500250</v>
      </c>
      <c r="H26" s="442">
        <f>IF(AND(MOD(BS!AB$6, 12) = 0, H$5=2), BS!AB28, 0)</f>
        <v>1050250</v>
      </c>
      <c r="I26" s="442">
        <f>IF(AND(MOD(BS!AN$6, 12) = 0, I$5=3), BS!AN28, 0)</f>
        <v>1050250</v>
      </c>
      <c r="P26" s="4"/>
    </row>
    <row r="27" spans="1:16" ht="15">
      <c r="A27" s="59"/>
      <c r="B27" s="71" t="s">
        <v>306</v>
      </c>
      <c r="C27" s="457">
        <v>250</v>
      </c>
      <c r="D27" s="457">
        <v>270</v>
      </c>
      <c r="E27" s="474">
        <f>+D27-C27</f>
        <v>20</v>
      </c>
      <c r="F27" s="68"/>
      <c r="G27" s="442">
        <f>IF(MOD(BS!P$6, 12) = 0, BS!P29, 0)</f>
        <v>270</v>
      </c>
      <c r="H27" s="442">
        <f>IF(AND(MOD(BS!AB$6, 12) = 0, H$5=2), BS!AB29, 0)</f>
        <v>270</v>
      </c>
      <c r="I27" s="442">
        <f>IF(AND(MOD(BS!AN$6, 12) = 0, I$5=3), BS!AN29, 0)</f>
        <v>270</v>
      </c>
      <c r="P27" s="4"/>
    </row>
    <row r="28" spans="1:16" ht="15">
      <c r="A28" s="59"/>
      <c r="B28" s="72" t="s">
        <v>62</v>
      </c>
      <c r="C28" s="455">
        <f>+C26+C27</f>
        <v>500</v>
      </c>
      <c r="D28" s="455">
        <f>+D26+D27</f>
        <v>520</v>
      </c>
      <c r="E28" s="455">
        <f>+D28-C28</f>
        <v>20</v>
      </c>
      <c r="F28" s="68"/>
      <c r="G28" s="443">
        <f>IF(MOD(BS!P$6, 12) = 0, BS!P30, 0)</f>
        <v>500520</v>
      </c>
      <c r="H28" s="442">
        <f>IF(AND(MOD(BS!AB$6, 12) = 0, H$5=2), BS!AB30, 0)</f>
        <v>1050520</v>
      </c>
      <c r="I28" s="442">
        <f>IF(AND(MOD(BS!AN$6, 12) = 0, I$5=3), BS!AN30, 0)</f>
        <v>1050520</v>
      </c>
      <c r="P28" s="4"/>
    </row>
    <row r="29" spans="1:16" ht="15">
      <c r="A29" s="59"/>
      <c r="B29" s="58"/>
      <c r="C29" s="73"/>
      <c r="D29" s="73"/>
      <c r="E29" s="73"/>
      <c r="F29" s="68"/>
      <c r="G29" s="58"/>
      <c r="H29" s="118"/>
      <c r="I29" s="118"/>
      <c r="P29" s="4"/>
    </row>
    <row r="30" spans="1:16" ht="15">
      <c r="A30" s="59"/>
      <c r="B30" s="72" t="s">
        <v>16</v>
      </c>
      <c r="C30" s="455">
        <f>500</f>
        <v>500</v>
      </c>
      <c r="D30" s="455">
        <f>C30+D69-D34+D35</f>
        <v>1790</v>
      </c>
      <c r="E30" s="455">
        <f>+D30-C30</f>
        <v>1290</v>
      </c>
      <c r="F30" s="68"/>
      <c r="G30" s="443">
        <f>IF(MOD(BS!P$6, 12) = 0, BS!P32, 0)</f>
        <v>-1539657.0771557493</v>
      </c>
      <c r="H30" s="442">
        <f>IF(AND(MOD(BS!AB$6, 12) = 0, H$5=2), BS!AB32, 0)</f>
        <v>-3913044.6236136374</v>
      </c>
      <c r="I30" s="442">
        <f>IF(AND(MOD(BS!AN$6, 12) = 0, I$5=3), BS!AN32, 0)</f>
        <v>-4703393.2042049086</v>
      </c>
      <c r="P30" s="4"/>
    </row>
    <row r="31" spans="1:16" ht="15">
      <c r="A31" s="59"/>
      <c r="B31" s="58"/>
      <c r="C31" s="73"/>
      <c r="D31" s="73"/>
      <c r="E31" s="73"/>
      <c r="F31" s="68"/>
      <c r="G31" s="58"/>
      <c r="H31" s="542"/>
      <c r="I31" s="542"/>
      <c r="P31" s="4"/>
    </row>
    <row r="32" spans="1:16" ht="15">
      <c r="A32" s="59"/>
      <c r="B32" s="74" t="s">
        <v>22</v>
      </c>
      <c r="C32" s="460">
        <f>+C30+C24+C28</f>
        <v>1425</v>
      </c>
      <c r="D32" s="460">
        <f>+D30+D24+D28</f>
        <v>3010</v>
      </c>
      <c r="E32" s="460">
        <f>+D32-C32</f>
        <v>1585</v>
      </c>
      <c r="F32" s="68"/>
      <c r="G32" s="494">
        <f>IF(MOD(BS!P$6, 12) = 0, BS!P34, 0)</f>
        <v>-1038587.9024850999</v>
      </c>
      <c r="H32" s="442">
        <f>IF(AND(MOD(BS!AB$6, 12) = 0, H$5=2), BS!AB34, 0)</f>
        <v>-2861211.4639761318</v>
      </c>
      <c r="I32" s="442">
        <f>IF(AND(MOD(BS!AN$6, 12) = 0, I$5=3), BS!AN34, 0)</f>
        <v>-3650785.1884458708</v>
      </c>
      <c r="P32" s="4"/>
    </row>
    <row r="33" spans="1:16" ht="15">
      <c r="A33" s="59"/>
      <c r="B33" s="68"/>
      <c r="C33" s="75"/>
      <c r="D33" s="75"/>
      <c r="E33" s="75"/>
      <c r="F33" s="68"/>
      <c r="G33" s="75"/>
      <c r="H33" s="118"/>
      <c r="I33" s="118"/>
      <c r="P33" s="4"/>
    </row>
    <row r="34" spans="1:16" ht="15">
      <c r="A34" s="59"/>
      <c r="B34" s="76" t="s">
        <v>322</v>
      </c>
      <c r="C34" s="543">
        <v>200</v>
      </c>
      <c r="D34" s="543">
        <v>200</v>
      </c>
      <c r="E34" s="544">
        <f>+D34-C34</f>
        <v>0</v>
      </c>
      <c r="F34" s="68"/>
      <c r="G34" s="544"/>
      <c r="H34" s="442">
        <f>IF(AND(MOD(BS!AB$6, 12) = 0, H$5=2), BS!AB36, 0)</f>
        <v>0</v>
      </c>
      <c r="I34" s="442">
        <f>IF(AND(MOD(BS!AN$6, 12) = 0, I$5=3), BS!AN36, 0)</f>
        <v>0</v>
      </c>
      <c r="P34" s="4"/>
    </row>
    <row r="35" spans="1:16" ht="15">
      <c r="A35" s="59"/>
      <c r="B35" s="76" t="s">
        <v>323</v>
      </c>
      <c r="C35" s="543">
        <v>100</v>
      </c>
      <c r="D35" s="543">
        <v>100</v>
      </c>
      <c r="E35" s="544">
        <f>+D35-C35</f>
        <v>0</v>
      </c>
      <c r="F35" s="68"/>
      <c r="G35" s="544"/>
      <c r="H35" s="442">
        <v>1000000</v>
      </c>
      <c r="I35" s="442">
        <f>IF(AND(MOD(BS!AN$6, 12) = 0, I$5=3), BS!AN37, 0)</f>
        <v>0</v>
      </c>
      <c r="P35" s="4"/>
    </row>
    <row r="36" spans="1:16" ht="15">
      <c r="A36" s="59"/>
      <c r="B36" s="76" t="s">
        <v>326</v>
      </c>
      <c r="C36" s="543">
        <v>100</v>
      </c>
      <c r="D36" s="543">
        <v>125</v>
      </c>
      <c r="E36" s="544">
        <f>+D36-C36</f>
        <v>25</v>
      </c>
      <c r="F36" s="77"/>
      <c r="G36" s="544"/>
      <c r="H36" s="442">
        <f>IF(AND(MOD(BS!AB$6, 12) = 0, H$5=2), BS!AB38, 0)</f>
        <v>0</v>
      </c>
      <c r="I36" s="442">
        <f>IF(AND(MOD(BS!AN$6, 12) = 0, I$5=3), BS!AN38, 0)</f>
        <v>0</v>
      </c>
      <c r="J36" s="6"/>
      <c r="K36" s="6"/>
      <c r="O36" s="9"/>
      <c r="P36" s="4"/>
    </row>
    <row r="37" spans="1:16" ht="15">
      <c r="A37" s="59"/>
      <c r="B37" s="58"/>
      <c r="C37" s="58"/>
      <c r="D37" s="58"/>
      <c r="E37" s="58"/>
      <c r="F37" s="58"/>
      <c r="G37" s="121"/>
      <c r="H37" s="58"/>
      <c r="I37" s="58"/>
      <c r="P37" s="4"/>
    </row>
    <row r="38" spans="1:16" ht="16" thickBot="1">
      <c r="A38" s="59"/>
      <c r="B38" s="341" t="s">
        <v>580</v>
      </c>
      <c r="C38" s="343">
        <f>+C6</f>
        <v>2024</v>
      </c>
      <c r="D38" s="343">
        <f>+D6</f>
        <v>2025</v>
      </c>
      <c r="E38" s="362" t="s">
        <v>325</v>
      </c>
      <c r="F38" s="362"/>
      <c r="G38" s="362">
        <f>G6</f>
        <v>2026</v>
      </c>
      <c r="H38" s="362">
        <f t="shared" ref="H38:I38" si="2">H6</f>
        <v>2027</v>
      </c>
      <c r="I38" s="362">
        <f t="shared" si="2"/>
        <v>2028</v>
      </c>
      <c r="P38" s="4"/>
    </row>
    <row r="39" spans="1:16" ht="15">
      <c r="A39" s="59"/>
      <c r="B39" s="58"/>
      <c r="C39" s="78"/>
      <c r="D39" s="78"/>
      <c r="E39" s="58"/>
      <c r="F39" s="58"/>
      <c r="G39" s="58"/>
      <c r="H39" s="58"/>
      <c r="I39" s="58"/>
      <c r="P39" s="4"/>
    </row>
    <row r="40" spans="1:16" ht="15">
      <c r="A40" s="59"/>
      <c r="B40" s="72" t="s">
        <v>246</v>
      </c>
      <c r="C40" s="455">
        <f>10000</f>
        <v>10000</v>
      </c>
      <c r="D40" s="455">
        <f>11000</f>
        <v>11000</v>
      </c>
      <c r="E40" s="545">
        <f>+D40-C40</f>
        <v>1000</v>
      </c>
      <c r="F40" s="58"/>
      <c r="G40" s="442">
        <f>SUMIF(PL!$E$6:$AN$6,'Historicals &amp; Projections'!G$6,PL!$E8:$AN8)</f>
        <v>832616.66666666663</v>
      </c>
      <c r="H40" s="442">
        <f>SUMIF(PL!$E$6:$AN$6,'Historicals &amp; Projections'!H$6,PL!$E8:$AN8)</f>
        <v>3389616.6666666665</v>
      </c>
      <c r="I40" s="442">
        <f>SUMIF(PL!$E$6:$AN$6,'Historicals &amp; Projections'!I$6,PL!$E8:$AN8)</f>
        <v>6207725</v>
      </c>
      <c r="P40" s="4"/>
    </row>
    <row r="41" spans="1:16" ht="15">
      <c r="A41" s="59"/>
      <c r="B41" s="71" t="s">
        <v>25</v>
      </c>
      <c r="C41" s="457">
        <f>6000</f>
        <v>6000</v>
      </c>
      <c r="D41" s="457">
        <f>6600</f>
        <v>6600</v>
      </c>
      <c r="E41" s="546">
        <f>+D41-C41</f>
        <v>600</v>
      </c>
      <c r="F41" s="58"/>
      <c r="G41" s="442">
        <f>SUMIF(PL!$E$6:$AN$6,'Historicals &amp; Projections'!G$6,PL!$E9:$AN9)</f>
        <v>564183.70833333337</v>
      </c>
      <c r="H41" s="442">
        <f>SUMIF(PL!$E$6:$AN$6,'Historicals &amp; Projections'!H$6,PL!$E9:$AN9)</f>
        <v>2320865.2083333335</v>
      </c>
      <c r="I41" s="442">
        <f>SUMIF(PL!$E$6:$AN$6,'Historicals &amp; Projections'!I$6,PL!$E9:$AN9)</f>
        <v>4224126.0625</v>
      </c>
      <c r="P41" s="4"/>
    </row>
    <row r="42" spans="1:16" ht="15">
      <c r="A42" s="59"/>
      <c r="B42" s="71" t="s">
        <v>26</v>
      </c>
      <c r="C42" s="457">
        <f>200</f>
        <v>200</v>
      </c>
      <c r="D42" s="457">
        <f>200</f>
        <v>200</v>
      </c>
      <c r="E42" s="547">
        <f>+D42-C42</f>
        <v>0</v>
      </c>
      <c r="F42" s="58"/>
      <c r="G42" s="442">
        <f>SUMIF(PL!$E$6:$AN$6,'Historicals &amp; Projections'!G$6,PL!$E10:$AN10)</f>
        <v>10800</v>
      </c>
      <c r="H42" s="442">
        <f>SUMIF(PL!$E$6:$AN$6,'Historicals &amp; Projections'!H$6,PL!$E10:$AN10)</f>
        <v>16380</v>
      </c>
      <c r="I42" s="442">
        <f>SUMIF(PL!$E$6:$AN$6,'Historicals &amp; Projections'!I$6,PL!$E10:$AN10)</f>
        <v>22680</v>
      </c>
      <c r="P42" s="4"/>
    </row>
    <row r="43" spans="1:16" ht="15">
      <c r="A43" s="59"/>
      <c r="B43" s="72" t="s">
        <v>27</v>
      </c>
      <c r="C43" s="455">
        <f>SUM(C41:C42)</f>
        <v>6200</v>
      </c>
      <c r="D43" s="455">
        <f>SUM(D41:D42)</f>
        <v>6800</v>
      </c>
      <c r="E43" s="455">
        <f>+D43-C43</f>
        <v>600</v>
      </c>
      <c r="F43" s="58"/>
      <c r="G43" s="443">
        <f>SUMIF(PL!$E$6:$AN$6,'Historicals &amp; Projections'!G$6,PL!$E11:$AN11)</f>
        <v>574983.70833333337</v>
      </c>
      <c r="H43" s="443">
        <f>SUMIF(PL!$E$6:$AN$6,'Historicals &amp; Projections'!H$6,PL!$E11:$AN11)</f>
        <v>2337245.2083333335</v>
      </c>
      <c r="I43" s="443">
        <f>SUMIF(PL!$E$6:$AN$6,'Historicals &amp; Projections'!I$6,PL!$E11:$AN11)</f>
        <v>4246806.0625</v>
      </c>
      <c r="P43" s="4"/>
    </row>
    <row r="44" spans="1:16" ht="15">
      <c r="A44" s="59"/>
      <c r="B44" s="58"/>
      <c r="C44" s="73"/>
      <c r="D44" s="73"/>
      <c r="E44" s="79"/>
      <c r="F44" s="58"/>
      <c r="G44" s="56"/>
      <c r="H44" s="56"/>
      <c r="I44" s="56"/>
      <c r="P44" s="4"/>
    </row>
    <row r="45" spans="1:16" ht="15">
      <c r="A45" s="59"/>
      <c r="B45" s="74" t="s">
        <v>28</v>
      </c>
      <c r="C45" s="460">
        <f>+C40-C43</f>
        <v>3800</v>
      </c>
      <c r="D45" s="460">
        <f>+D40-D43</f>
        <v>4200</v>
      </c>
      <c r="E45" s="460">
        <f t="shared" ref="E45:E55" si="3">+D45-C45</f>
        <v>400</v>
      </c>
      <c r="F45" s="58"/>
      <c r="G45" s="494">
        <f>SUMIF(PL!$E$6:$AN$6,'Historicals &amp; Projections'!G$6,PL!$E13:$AN13)</f>
        <v>257632.95833333326</v>
      </c>
      <c r="H45" s="494">
        <f>SUMIF(PL!$E$6:$AN$6,'Historicals &amp; Projections'!H$6,PL!$E13:$AN13)</f>
        <v>1052371.4583333333</v>
      </c>
      <c r="I45" s="494">
        <f>SUMIF(PL!$E$6:$AN$6,'Historicals &amp; Projections'!I$6,PL!$E13:$AN13)</f>
        <v>1960918.9374999998</v>
      </c>
      <c r="P45" s="4"/>
    </row>
    <row r="46" spans="1:16" ht="15">
      <c r="A46" s="59"/>
      <c r="B46" s="58"/>
      <c r="C46" s="73"/>
      <c r="D46" s="73"/>
      <c r="E46" s="79">
        <f t="shared" si="3"/>
        <v>0</v>
      </c>
      <c r="F46" s="58"/>
      <c r="G46" s="56"/>
      <c r="H46" s="56"/>
      <c r="I46" s="56"/>
      <c r="P46" s="4"/>
    </row>
    <row r="47" spans="1:16" ht="15">
      <c r="A47" s="59"/>
      <c r="B47" s="71" t="s">
        <v>29</v>
      </c>
      <c r="C47" s="457">
        <f>1000</f>
        <v>1000</v>
      </c>
      <c r="D47" s="457">
        <f>1100</f>
        <v>1100</v>
      </c>
      <c r="E47" s="546">
        <f t="shared" si="3"/>
        <v>100</v>
      </c>
      <c r="F47" s="58"/>
      <c r="G47" s="442">
        <f>SUMIF(PL!$E$6:$AN$6,'Historicals &amp; Projections'!G$6,PL!$E15:$AN15)</f>
        <v>99807.213636363638</v>
      </c>
      <c r="H47" s="442">
        <f>SUMIF(PL!$E$6:$AN$6,'Historicals &amp; Projections'!H$6,PL!$E15:$AN15)</f>
        <v>262219.79645454546</v>
      </c>
      <c r="I47" s="442">
        <f>SUMIF(PL!$E$6:$AN$6,'Historicals &amp; Projections'!I$6,PL!$E15:$AN15)</f>
        <v>426616.76909454545</v>
      </c>
      <c r="P47" s="4"/>
    </row>
    <row r="48" spans="1:16" ht="15">
      <c r="A48" s="59"/>
      <c r="B48" s="71" t="s">
        <v>30</v>
      </c>
      <c r="C48" s="457">
        <f>1000</f>
        <v>1000</v>
      </c>
      <c r="D48" s="457">
        <f>1100</f>
        <v>1100</v>
      </c>
      <c r="E48" s="546">
        <f t="shared" si="3"/>
        <v>100</v>
      </c>
      <c r="F48" s="58"/>
      <c r="G48" s="442">
        <f>SUMIF(PL!$E$6:$AN$6,'Historicals &amp; Projections'!G$6,PL!$E16:$AN16)</f>
        <v>1176064.0000000002</v>
      </c>
      <c r="H48" s="442">
        <f>SUMIF(PL!$E$6:$AN$6,'Historicals &amp; Projections'!H$6,PL!$E16:$AN16)</f>
        <v>1017549.2799999999</v>
      </c>
      <c r="I48" s="442">
        <f>SUMIF(PL!$E$6:$AN$6,'Historicals &amp; Projections'!I$6,PL!$E16:$AN16)</f>
        <v>1156999.0595999998</v>
      </c>
      <c r="P48" s="4"/>
    </row>
    <row r="49" spans="1:9" ht="15">
      <c r="A49" s="59"/>
      <c r="B49" s="72" t="s">
        <v>31</v>
      </c>
      <c r="C49" s="455">
        <f>SUM(C47:C48)</f>
        <v>2000</v>
      </c>
      <c r="D49" s="455">
        <f>SUM(D47:D48)</f>
        <v>2200</v>
      </c>
      <c r="E49" s="455">
        <f t="shared" si="3"/>
        <v>200</v>
      </c>
      <c r="F49" s="58"/>
      <c r="G49" s="443">
        <f>SUMIF(PL!$E$6:$AN$6,'Historicals &amp; Projections'!G$6,PL!$E17:$AN17)</f>
        <v>1275871.2136363639</v>
      </c>
      <c r="H49" s="443">
        <f>SUMIF(PL!$E$6:$AN$6,'Historicals &amp; Projections'!H$6,PL!$E17:$AN17)</f>
        <v>1279769.0764545456</v>
      </c>
      <c r="I49" s="443">
        <f>SUMIF(PL!$E$6:$AN$6,'Historicals &amp; Projections'!I$6,PL!$E17:$AN17)</f>
        <v>1583615.8286945454</v>
      </c>
    </row>
    <row r="50" spans="1:9" ht="15">
      <c r="A50" s="59"/>
      <c r="B50" s="59"/>
      <c r="C50" s="59"/>
      <c r="D50" s="59"/>
      <c r="E50" s="79">
        <f t="shared" si="3"/>
        <v>0</v>
      </c>
      <c r="F50" s="58"/>
      <c r="G50" s="184"/>
      <c r="H50" s="184"/>
      <c r="I50" s="184"/>
    </row>
    <row r="51" spans="1:9" ht="15">
      <c r="A51" s="59"/>
      <c r="B51" s="71" t="s">
        <v>328</v>
      </c>
      <c r="C51" s="457">
        <v>50</v>
      </c>
      <c r="D51" s="457">
        <v>50</v>
      </c>
      <c r="E51" s="546">
        <f t="shared" si="3"/>
        <v>0</v>
      </c>
      <c r="F51" s="58"/>
      <c r="G51" s="442">
        <f>SUMIF(PL!$E$6:$AN$6,'Historicals &amp; Projections'!G$6,PL!$E19:$AN19)</f>
        <v>50</v>
      </c>
      <c r="H51" s="442">
        <f>SUMIF(PL!$E$6:$AN$6,'Historicals &amp; Projections'!H$6,PL!$E19:$AN19)</f>
        <v>0</v>
      </c>
      <c r="I51" s="442">
        <f>SUMIF(PL!$E$6:$AN$6,'Historicals &amp; Projections'!I$6,PL!$E19:$AN19)</f>
        <v>0</v>
      </c>
    </row>
    <row r="52" spans="1:9" ht="15">
      <c r="A52" s="59"/>
      <c r="B52" s="71" t="s">
        <v>329</v>
      </c>
      <c r="C52" s="457">
        <v>120</v>
      </c>
      <c r="D52" s="457">
        <v>90</v>
      </c>
      <c r="E52" s="546">
        <f t="shared" si="3"/>
        <v>-30</v>
      </c>
      <c r="F52" s="58"/>
      <c r="G52" s="442">
        <f>SUMIF(PL!$E$6:$AN$6,'Historicals &amp; Projections'!G$6,PL!$E20:$AN20)</f>
        <v>0</v>
      </c>
      <c r="H52" s="442">
        <f>SUMIF(PL!$E$6:$AN$6,'Historicals &amp; Projections'!H$6,PL!$E20:$AN20)</f>
        <v>0</v>
      </c>
      <c r="I52" s="442">
        <f>SUMIF(PL!$E$6:$AN$6,'Historicals &amp; Projections'!I$6,PL!$E20:$AN20)</f>
        <v>0</v>
      </c>
    </row>
    <row r="53" spans="1:9" ht="15">
      <c r="A53" s="59"/>
      <c r="B53" s="71" t="s">
        <v>330</v>
      </c>
      <c r="C53" s="457">
        <v>10</v>
      </c>
      <c r="D53" s="457">
        <v>10</v>
      </c>
      <c r="E53" s="546">
        <f t="shared" si="3"/>
        <v>0</v>
      </c>
      <c r="F53" s="58"/>
      <c r="G53" s="442">
        <f>SUMIF(PL!$E$6:$AN$6,'Historicals &amp; Projections'!G$6,PL!$E21:$AN21)</f>
        <v>756.92424242424238</v>
      </c>
      <c r="H53" s="442">
        <f>SUMIF(PL!$E$6:$AN$6,'Historicals &amp; Projections'!H$6,PL!$E21:$AN21)</f>
        <v>3081.4696969696965</v>
      </c>
      <c r="I53" s="442">
        <f>SUMIF(PL!$E$6:$AN$6,'Historicals &amp; Projections'!I$6,PL!$E21:$AN21)</f>
        <v>5643.386363636364</v>
      </c>
    </row>
    <row r="54" spans="1:9" ht="15">
      <c r="A54" s="59"/>
      <c r="B54" s="71" t="s">
        <v>331</v>
      </c>
      <c r="C54" s="457">
        <v>10</v>
      </c>
      <c r="D54" s="457">
        <v>10</v>
      </c>
      <c r="E54" s="546">
        <f t="shared" si="3"/>
        <v>0</v>
      </c>
      <c r="F54" s="58"/>
      <c r="G54" s="442">
        <f>SUMIF(PL!$E$6:$AN$6,'Historicals &amp; Projections'!G$6,PL!$E22:$AN22)</f>
        <v>845.56427696078435</v>
      </c>
      <c r="H54" s="442">
        <f>SUMIF(PL!$E$6:$AN$6,'Historicals &amp; Projections'!H$6,PL!$E22:$AN22)</f>
        <v>3437.1253063725485</v>
      </c>
      <c r="I54" s="442">
        <f>SUMIF(PL!$E$6:$AN$6,'Historicals &amp; Projections'!I$6,PL!$E22:$AN22)</f>
        <v>6245.3030330882348</v>
      </c>
    </row>
    <row r="55" spans="1:9" ht="15">
      <c r="A55" s="59"/>
      <c r="B55" s="72" t="s">
        <v>321</v>
      </c>
      <c r="C55" s="455">
        <f>SUM(C51:C54)</f>
        <v>190</v>
      </c>
      <c r="D55" s="455">
        <f>SUM(D51:D54)</f>
        <v>160</v>
      </c>
      <c r="E55" s="455">
        <f t="shared" si="3"/>
        <v>-30</v>
      </c>
      <c r="F55" s="58"/>
      <c r="G55" s="455">
        <f>SUMIF(PL!$E$6:$AN$6,'Historicals &amp; Projections'!G$6,PL!$E23:$AN23)</f>
        <v>1652.4885193850268</v>
      </c>
      <c r="H55" s="455">
        <f>SUMIF(PL!$E$6:$AN$6,'Historicals &amp; Projections'!H$6,PL!$E23:$AN23)</f>
        <v>6518.5950033422469</v>
      </c>
      <c r="I55" s="455">
        <f>SUMIF(PL!$E$6:$AN$6,'Historicals &amp; Projections'!I$6,PL!$E23:$AN23)</f>
        <v>11888.6893967246</v>
      </c>
    </row>
    <row r="56" spans="1:9" ht="15">
      <c r="A56" s="59"/>
      <c r="B56" s="59"/>
      <c r="C56" s="59"/>
      <c r="D56" s="59"/>
      <c r="E56" s="79"/>
      <c r="F56" s="58"/>
      <c r="G56" s="184"/>
      <c r="H56" s="184"/>
      <c r="I56" s="184"/>
    </row>
    <row r="57" spans="1:9" ht="15">
      <c r="A57" s="59"/>
      <c r="B57" s="74" t="s">
        <v>32</v>
      </c>
      <c r="C57" s="460">
        <f>+C45-C49-C55</f>
        <v>1610</v>
      </c>
      <c r="D57" s="460">
        <f>+D45-D49-D55</f>
        <v>1840</v>
      </c>
      <c r="E57" s="460">
        <f>+D57-C57</f>
        <v>230</v>
      </c>
      <c r="F57" s="58"/>
      <c r="G57" s="494">
        <f>SUMIF(PL!$E$6:$AN$6,'Historicals &amp; Projections'!G$6,PL!$E25:$AN25)</f>
        <v>-1019890.7438224157</v>
      </c>
      <c r="H57" s="494">
        <f>SUMIF(PL!$E$6:$AN$6,'Historicals &amp; Projections'!H$6,PL!$E25:$AN25)</f>
        <v>-233916.21312455452</v>
      </c>
      <c r="I57" s="494">
        <f>SUMIF(PL!$E$6:$AN$6,'Historicals &amp; Projections'!I$6,PL!$E25:$AN25)</f>
        <v>365414.41940872965</v>
      </c>
    </row>
    <row r="58" spans="1:9" ht="15">
      <c r="A58" s="59"/>
      <c r="B58" s="58"/>
      <c r="C58" s="73"/>
      <c r="D58" s="73"/>
      <c r="E58" s="79"/>
      <c r="F58" s="58"/>
      <c r="G58" s="58"/>
      <c r="H58" s="58"/>
      <c r="I58" s="58"/>
    </row>
    <row r="59" spans="1:9" ht="15">
      <c r="A59" s="59"/>
      <c r="B59" s="71" t="s">
        <v>33</v>
      </c>
      <c r="C59" s="457">
        <f>100</f>
        <v>100</v>
      </c>
      <c r="D59" s="457">
        <f>100</f>
        <v>100</v>
      </c>
      <c r="E59" s="546">
        <f>+D59-C59</f>
        <v>0</v>
      </c>
      <c r="F59" s="58"/>
      <c r="G59" s="442">
        <f>SUMIF(PL!$E$6:$AN$6,'Historicals &amp; Projections'!G$6,PL!$E27:$AN27)</f>
        <v>348</v>
      </c>
      <c r="H59" s="442">
        <f>SUMIF(PL!$E$6:$AN$6,'Historicals &amp; Projections'!H$6,PL!$E27:$AN27)</f>
        <v>3556.333333333333</v>
      </c>
      <c r="I59" s="442">
        <f>SUMIF(PL!$E$6:$AN$6,'Historicals &amp; Projections'!I$6,PL!$E27:$AN27)</f>
        <v>19848</v>
      </c>
    </row>
    <row r="60" spans="1:9" ht="15">
      <c r="A60" s="59"/>
      <c r="B60" s="71"/>
      <c r="C60" s="71"/>
      <c r="D60" s="71"/>
      <c r="E60" s="71"/>
      <c r="F60" s="71"/>
      <c r="G60" s="58"/>
      <c r="H60" s="58"/>
      <c r="I60" s="58"/>
    </row>
    <row r="61" spans="1:9" ht="15">
      <c r="A61" s="59"/>
      <c r="B61" s="74" t="s">
        <v>362</v>
      </c>
      <c r="C61" s="460">
        <f>+C57-C59</f>
        <v>1510</v>
      </c>
      <c r="D61" s="460">
        <f>+D57-D59</f>
        <v>1740</v>
      </c>
      <c r="E61" s="460">
        <f>+E57-E59</f>
        <v>230</v>
      </c>
      <c r="F61" s="58"/>
      <c r="G61" s="494">
        <f>SUMIF(PL!$E$6:$AN$6,'Historicals &amp; Projections'!G$6,PL!$E29:$AN29)</f>
        <v>-1020238.7438224157</v>
      </c>
      <c r="H61" s="494">
        <f>SUMIF(PL!$E$6:$AN$6,'Historicals &amp; Projections'!H$6,PL!$E29:$AN29)</f>
        <v>-237472.54645788786</v>
      </c>
      <c r="I61" s="494">
        <f>SUMIF(PL!$E$6:$AN$6,'Historicals &amp; Projections'!I$6,PL!$E29:$AN29)</f>
        <v>345566.41940872965</v>
      </c>
    </row>
    <row r="62" spans="1:9" ht="15">
      <c r="A62" s="59"/>
      <c r="B62" s="71"/>
      <c r="C62" s="71"/>
      <c r="D62" s="71"/>
      <c r="E62" s="71"/>
      <c r="F62" s="71"/>
      <c r="G62" s="58"/>
      <c r="H62" s="58"/>
      <c r="I62" s="58"/>
    </row>
    <row r="63" spans="1:9" ht="15">
      <c r="A63" s="59"/>
      <c r="B63" s="71" t="s">
        <v>34</v>
      </c>
      <c r="C63" s="457">
        <f>50</f>
        <v>50</v>
      </c>
      <c r="D63" s="457">
        <f>50</f>
        <v>50</v>
      </c>
      <c r="E63" s="546">
        <f t="shared" ref="E63:E69" si="4">+D63-C63</f>
        <v>0</v>
      </c>
      <c r="F63" s="58"/>
      <c r="G63" s="442">
        <f>SUMIF(PL!$E$6:$AN$6,'Historicals &amp; Projections'!G$6,PL!$E31:$AN31)</f>
        <v>521208.33333333355</v>
      </c>
      <c r="H63" s="442">
        <f>SUMIF(PL!$E$6:$AN$6,'Historicals &amp; Projections'!H$6,PL!$E31:$AN31)</f>
        <v>2135915.0000000005</v>
      </c>
      <c r="I63" s="442">
        <f>SUMIF(PL!$E$6:$AN$6,'Historicals &amp; Projections'!I$6,PL!$E31:$AN31)</f>
        <v>2135915.0000000005</v>
      </c>
    </row>
    <row r="64" spans="1:9" ht="15">
      <c r="A64" s="59"/>
      <c r="B64" s="71" t="s">
        <v>35</v>
      </c>
      <c r="C64" s="457">
        <f>10</f>
        <v>10</v>
      </c>
      <c r="D64" s="457">
        <f>10</f>
        <v>10</v>
      </c>
      <c r="E64" s="546">
        <f t="shared" si="4"/>
        <v>0</v>
      </c>
      <c r="F64" s="58"/>
      <c r="G64" s="442">
        <f>SUMIF(PL!$E$6:$AN$6,'Historicals &amp; Projections'!G$6,PL!$E32:$AN32)</f>
        <v>0</v>
      </c>
      <c r="H64" s="442">
        <f>SUMIF(PL!$E$6:$AN$6,'Historicals &amp; Projections'!H$6,PL!$E32:$AN32)</f>
        <v>0</v>
      </c>
      <c r="I64" s="442">
        <f>SUMIF(PL!$E$6:$AN$6,'Historicals &amp; Projections'!I$6,PL!$E32:$AN32)</f>
        <v>0</v>
      </c>
    </row>
    <row r="65" spans="1:9" ht="15">
      <c r="A65" s="59"/>
      <c r="B65" s="72" t="s">
        <v>36</v>
      </c>
      <c r="C65" s="455">
        <f>+C61-C63+C64</f>
        <v>1470</v>
      </c>
      <c r="D65" s="455">
        <f>+D61-D63+D64</f>
        <v>1700</v>
      </c>
      <c r="E65" s="546">
        <f t="shared" si="4"/>
        <v>230</v>
      </c>
      <c r="F65" s="58"/>
      <c r="G65" s="443">
        <f>SUMIF(PL!$E$6:$AN$6,'Historicals &amp; Projections'!G$6,PL!$E33:$AN33)</f>
        <v>-1541447.0771557493</v>
      </c>
      <c r="H65" s="443">
        <f>SUMIF(PL!$E$6:$AN$6,'Historicals &amp; Projections'!H$6,PL!$E33:$AN33)</f>
        <v>-2373387.5464578881</v>
      </c>
      <c r="I65" s="443">
        <f>SUMIF(PL!$E$6:$AN$6,'Historicals &amp; Projections'!I$6,PL!$E33:$AN33)</f>
        <v>-1790348.5805912705</v>
      </c>
    </row>
    <row r="66" spans="1:9" ht="15">
      <c r="A66" s="59"/>
      <c r="B66" s="58"/>
      <c r="C66" s="73"/>
      <c r="D66" s="73"/>
      <c r="E66" s="79">
        <f t="shared" si="4"/>
        <v>0</v>
      </c>
      <c r="F66" s="58"/>
      <c r="G66" s="58"/>
      <c r="H66" s="58"/>
      <c r="I66" s="58"/>
    </row>
    <row r="67" spans="1:9" ht="15">
      <c r="A67" s="59"/>
      <c r="B67" s="71" t="s">
        <v>37</v>
      </c>
      <c r="C67" s="457">
        <v>280</v>
      </c>
      <c r="D67" s="457">
        <v>310</v>
      </c>
      <c r="E67" s="546">
        <f t="shared" si="4"/>
        <v>30</v>
      </c>
      <c r="F67" s="58"/>
      <c r="G67" s="442">
        <f>SUMIF(PL!$E$6:$AN$6,'Historicals &amp; Projections'!G$6,PL!$E35:$AN35)</f>
        <v>0</v>
      </c>
      <c r="H67" s="442">
        <f>SUMIF(PL!$E$6:$AN$6,'Historicals &amp; Projections'!H$6,PL!$E35:$AN35)</f>
        <v>0</v>
      </c>
      <c r="I67" s="442">
        <f>SUMIF(PL!$E$6:$AN$6,'Historicals &amp; Projections'!I$6,PL!$E35:$AN35)</f>
        <v>0</v>
      </c>
    </row>
    <row r="68" spans="1:9" ht="15">
      <c r="A68" s="59"/>
      <c r="B68" s="68"/>
      <c r="C68" s="75"/>
      <c r="D68" s="75"/>
      <c r="E68" s="79"/>
      <c r="F68" s="58"/>
      <c r="G68" s="58"/>
      <c r="H68" s="58"/>
      <c r="I68" s="58"/>
    </row>
    <row r="69" spans="1:9" ht="15">
      <c r="A69" s="59"/>
      <c r="B69" s="74" t="s">
        <v>42</v>
      </c>
      <c r="C69" s="460">
        <f>+C65-C67</f>
        <v>1190</v>
      </c>
      <c r="D69" s="460">
        <f>+D65-D67</f>
        <v>1390</v>
      </c>
      <c r="E69" s="460">
        <f t="shared" si="4"/>
        <v>200</v>
      </c>
      <c r="F69" s="58"/>
      <c r="G69" s="494">
        <f>SUMIF(PL!$E$6:$AN$6,'Historicals &amp; Projections'!G$6,PL!$E37:$AN37)</f>
        <v>-1541447.0771557493</v>
      </c>
      <c r="H69" s="494">
        <f>SUMIF(PL!$E$6:$AN$6,'Historicals &amp; Projections'!H$6,PL!$E37:$AN37)</f>
        <v>-2373387.5464578881</v>
      </c>
      <c r="I69" s="494">
        <f>SUMIF(PL!$E$6:$AN$6,'Historicals &amp; Projections'!I$6,PL!$E37:$AN37)</f>
        <v>-1790348.5805912705</v>
      </c>
    </row>
    <row r="70" spans="1:9" ht="15">
      <c r="A70" s="59"/>
      <c r="B70" s="68"/>
      <c r="C70" s="80"/>
      <c r="D70" s="80"/>
      <c r="E70" s="58"/>
      <c r="F70" s="58"/>
      <c r="G70" s="79"/>
      <c r="H70" s="58"/>
      <c r="I70" s="58"/>
    </row>
    <row r="71" spans="1:9" ht="15">
      <c r="A71" s="59"/>
      <c r="B71" s="66" t="s">
        <v>21</v>
      </c>
      <c r="C71" s="67"/>
      <c r="D71" s="67">
        <f>+D30-C30-D69+D34-D35</f>
        <v>0</v>
      </c>
      <c r="E71" s="67"/>
      <c r="F71" s="67"/>
      <c r="G71" s="67">
        <f>+G30-D30-G69+G34-G35</f>
        <v>0</v>
      </c>
      <c r="H71" s="67">
        <f>+H30-G30-H69+H34-H35</f>
        <v>-1000000</v>
      </c>
      <c r="I71" s="67">
        <f t="shared" ref="I71" si="5">+I30-H30-I69+I34-I35</f>
        <v>999999.9999999993</v>
      </c>
    </row>
    <row r="72" spans="1:9" ht="15">
      <c r="A72" s="59"/>
      <c r="B72" s="68"/>
      <c r="C72" s="80"/>
      <c r="D72" s="80"/>
      <c r="E72" s="58"/>
      <c r="F72" s="58"/>
      <c r="G72" s="58"/>
      <c r="H72" s="58"/>
      <c r="I72" s="58"/>
    </row>
    <row r="73" spans="1:9" ht="16" thickBot="1">
      <c r="A73" s="59"/>
      <c r="B73" s="341" t="s">
        <v>58</v>
      </c>
      <c r="C73" s="343">
        <v>2025</v>
      </c>
      <c r="D73" s="343">
        <f>+D38</f>
        <v>2025</v>
      </c>
      <c r="E73" s="343"/>
      <c r="F73" s="343"/>
      <c r="G73" s="343">
        <f>+G38</f>
        <v>2026</v>
      </c>
      <c r="H73" s="343">
        <f t="shared" ref="H73:I73" si="6">+H38</f>
        <v>2027</v>
      </c>
      <c r="I73" s="343">
        <f t="shared" si="6"/>
        <v>2028</v>
      </c>
    </row>
    <row r="74" spans="1:9" ht="15">
      <c r="A74" s="59"/>
      <c r="B74" s="58"/>
      <c r="C74" s="58"/>
      <c r="D74" s="58"/>
      <c r="E74" s="58"/>
      <c r="F74" s="58"/>
      <c r="G74" s="58"/>
      <c r="H74" s="58"/>
      <c r="I74" s="58"/>
    </row>
    <row r="75" spans="1:9" ht="15">
      <c r="A75" s="59"/>
      <c r="B75" s="72" t="s">
        <v>42</v>
      </c>
      <c r="C75" s="457">
        <f>+C69</f>
        <v>1190</v>
      </c>
      <c r="D75" s="474">
        <f>+D69</f>
        <v>1390</v>
      </c>
      <c r="E75" s="58"/>
      <c r="F75" s="58"/>
      <c r="G75" s="474">
        <f>SUMIF(CF!$C$7:$AL$7,'Historicals &amp; Projections'!G$73,CF!$C9:$AL9)</f>
        <v>-1541447.0771557493</v>
      </c>
      <c r="H75" s="474">
        <f>SUMIF(CF!$C$7:$AL$7,'Historicals &amp; Projections'!H$73,CF!$C9:$AL9)</f>
        <v>-2373387.5464578881</v>
      </c>
      <c r="I75" s="474">
        <f>SUMIF(CF!$C$7:$AL$7,'Historicals &amp; Projections'!I$73,CF!$C9:$AL9)</f>
        <v>-1790348.5805912705</v>
      </c>
    </row>
    <row r="76" spans="1:9" ht="15">
      <c r="A76" s="59"/>
      <c r="B76" s="58"/>
      <c r="C76" s="548"/>
      <c r="D76" s="546"/>
      <c r="E76" s="58"/>
      <c r="F76" s="58"/>
      <c r="G76" s="546">
        <f>SUMIF(CF!$C$7:$AL$7,'Historicals &amp; Projections'!G$73,CF!$C10:$AL10)</f>
        <v>0</v>
      </c>
      <c r="H76" s="546">
        <f>SUMIF(CF!$C$7:$AL$7,'Historicals &amp; Projections'!H$73,CF!$C10:$AL10)</f>
        <v>0</v>
      </c>
      <c r="I76" s="546">
        <f>SUMIF(CF!$C$7:$AL$7,'Historicals &amp; Projections'!I$73,CF!$C10:$AL10)</f>
        <v>0</v>
      </c>
    </row>
    <row r="77" spans="1:9" ht="15">
      <c r="A77" s="59"/>
      <c r="B77" s="71" t="s">
        <v>33</v>
      </c>
      <c r="C77" s="457">
        <f>+C59</f>
        <v>100</v>
      </c>
      <c r="D77" s="474">
        <f>+D59</f>
        <v>100</v>
      </c>
      <c r="E77" s="58"/>
      <c r="F77" s="58"/>
      <c r="G77" s="474">
        <f>SUMIF(CF!$C$7:$AL$7,'Historicals &amp; Projections'!G$73,CF!$C11:$AL11)</f>
        <v>348</v>
      </c>
      <c r="H77" s="474">
        <f>SUMIF(CF!$C$7:$AL$7,'Historicals &amp; Projections'!H$73,CF!$C11:$AL11)</f>
        <v>3556.333333333333</v>
      </c>
      <c r="I77" s="474">
        <f>SUMIF(CF!$C$7:$AL$7,'Historicals &amp; Projections'!I$73,CF!$C11:$AL11)</f>
        <v>19848</v>
      </c>
    </row>
    <row r="78" spans="1:9" ht="15">
      <c r="A78" s="59"/>
      <c r="B78" s="71" t="s">
        <v>330</v>
      </c>
      <c r="C78" s="457">
        <f>+C53</f>
        <v>10</v>
      </c>
      <c r="D78" s="474">
        <f>+D53</f>
        <v>10</v>
      </c>
      <c r="E78" s="58"/>
      <c r="F78" s="58"/>
      <c r="G78" s="474">
        <f>SUMIF(CF!$C$7:$AL$7,'Historicals &amp; Projections'!G$73,CF!$C12:$AL12)</f>
        <v>756.92424242424238</v>
      </c>
      <c r="H78" s="474">
        <f>SUMIF(CF!$C$7:$AL$7,'Historicals &amp; Projections'!H$73,CF!$C12:$AL12)</f>
        <v>3081.4696969696965</v>
      </c>
      <c r="I78" s="474">
        <f>SUMIF(CF!$C$7:$AL$7,'Historicals &amp; Projections'!I$73,CF!$C12:$AL12)</f>
        <v>5643.386363636364</v>
      </c>
    </row>
    <row r="79" spans="1:9" ht="15">
      <c r="A79" s="59"/>
      <c r="B79" s="71" t="s">
        <v>331</v>
      </c>
      <c r="C79" s="457">
        <f>+C54</f>
        <v>10</v>
      </c>
      <c r="D79" s="474">
        <f>+D54</f>
        <v>10</v>
      </c>
      <c r="E79" s="58"/>
      <c r="F79" s="58"/>
      <c r="G79" s="474">
        <f>SUMIF(CF!$C$7:$AL$7,'Historicals &amp; Projections'!G$73,CF!$C13:$AL13)</f>
        <v>845.56427696078435</v>
      </c>
      <c r="H79" s="474">
        <f>SUMIF(CF!$C$7:$AL$7,'Historicals &amp; Projections'!H$73,CF!$C13:$AL13)</f>
        <v>3437.1253063725485</v>
      </c>
      <c r="I79" s="474">
        <f>SUMIF(CF!$C$7:$AL$7,'Historicals &amp; Projections'!I$73,CF!$C13:$AL13)</f>
        <v>6245.3030330882348</v>
      </c>
    </row>
    <row r="80" spans="1:9" ht="15">
      <c r="A80" s="59"/>
      <c r="B80" s="71" t="s">
        <v>332</v>
      </c>
      <c r="C80" s="457">
        <f>+C52-C51</f>
        <v>70</v>
      </c>
      <c r="D80" s="474">
        <f>+D52-D51</f>
        <v>40</v>
      </c>
      <c r="E80" s="58"/>
      <c r="F80" s="58"/>
      <c r="G80" s="474">
        <f>SUMIF(CF!$C$7:$AL$7,'Historicals &amp; Projections'!G$73,CF!$C14:$AL14)</f>
        <v>0</v>
      </c>
      <c r="H80" s="474">
        <f>SUMIF(CF!$C$7:$AL$7,'Historicals &amp; Projections'!H$73,CF!$C14:$AL14)</f>
        <v>0</v>
      </c>
      <c r="I80" s="474">
        <f>SUMIF(CF!$C$7:$AL$7,'Historicals &amp; Projections'!I$73,CF!$C14:$AL14)</f>
        <v>0</v>
      </c>
    </row>
    <row r="81" spans="1:9 16365:16365" ht="15">
      <c r="A81" s="59"/>
      <c r="B81" s="71" t="s">
        <v>338</v>
      </c>
      <c r="C81" s="457">
        <v>-100</v>
      </c>
      <c r="D81" s="474">
        <f>-E11-D54</f>
        <v>-60</v>
      </c>
      <c r="E81" s="58"/>
      <c r="F81" s="58"/>
      <c r="G81" s="474">
        <f>SUMIF(CF!$C$7:$AL$7,'Historicals &amp; Projections'!G$73,CF!$C15:$AL15)</f>
        <v>87.673611111111114</v>
      </c>
      <c r="H81" s="474">
        <f>SUMIF(CF!$C$7:$AL$7,'Historicals &amp; Projections'!H$73,CF!$C15:$AL15)</f>
        <v>-900.46085858585877</v>
      </c>
      <c r="I81" s="474">
        <f>SUMIF(CF!$C$7:$AL$7,'Historicals &amp; Projections'!I$73,CF!$C15:$AL15)</f>
        <v>-929.93844696969677</v>
      </c>
    </row>
    <row r="82" spans="1:9 16365:16365" ht="15">
      <c r="A82" s="59"/>
      <c r="B82" s="71" t="s">
        <v>337</v>
      </c>
      <c r="C82" s="457">
        <v>-250</v>
      </c>
      <c r="D82" s="474">
        <f>-E9-D53</f>
        <v>-60</v>
      </c>
      <c r="E82" s="58"/>
      <c r="F82" s="58"/>
      <c r="G82" s="474">
        <f>SUMIF(CF!$C$7:$AL$7,'Historicals &amp; Projections'!G$73,CF!$C16:$AL16)</f>
        <v>-737.13257575757575</v>
      </c>
      <c r="H82" s="474">
        <f>SUMIF(CF!$C$7:$AL$7,'Historicals &amp; Projections'!H$73,CF!$C16:$AL16)</f>
        <v>-3365.8257575757571</v>
      </c>
      <c r="I82" s="474">
        <f>SUMIF(CF!$C$7:$AL$7,'Historicals &amp; Projections'!I$73,CF!$C16:$AL16)</f>
        <v>-5937.051136363636</v>
      </c>
    </row>
    <row r="83" spans="1:9 16365:16365" ht="15">
      <c r="A83" s="59"/>
      <c r="B83" s="71" t="s">
        <v>336</v>
      </c>
      <c r="C83" s="457">
        <v>-120</v>
      </c>
      <c r="D83" s="474">
        <f>-E10</f>
        <v>-100</v>
      </c>
      <c r="E83" s="58"/>
      <c r="F83" s="58"/>
      <c r="G83" s="474">
        <f>SUMIF(CF!$C$7:$AL$7,'Historicals &amp; Projections'!G$73,CF!$C17:$AL17)</f>
        <v>-788.86020731209157</v>
      </c>
      <c r="H83" s="474">
        <f>SUMIF(CF!$C$7:$AL$7,'Historicals &amp; Projections'!H$73,CF!$C17:$AL17)</f>
        <v>-3970.0463133169928</v>
      </c>
      <c r="I83" s="474">
        <f>SUMIF(CF!$C$7:$AL$7,'Historicals &amp; Projections'!I$73,CF!$C17:$AL17)</f>
        <v>-6779.9600873161771</v>
      </c>
    </row>
    <row r="84" spans="1:9 16365:16365" ht="15">
      <c r="A84" s="59"/>
      <c r="B84" s="71" t="s">
        <v>334</v>
      </c>
      <c r="C84" s="457">
        <v>-120</v>
      </c>
      <c r="D84" s="474">
        <f>+E21</f>
        <v>250</v>
      </c>
      <c r="E84" s="58"/>
      <c r="F84" s="58"/>
      <c r="G84" s="474">
        <f>SUMIF(CF!$C$7:$AL$7,'Historicals &amp; Projections'!G$73,CF!$C18:$AL18)</f>
        <v>-131.03366268382348</v>
      </c>
      <c r="H84" s="474">
        <f>SUMIF(CF!$C$7:$AL$7,'Historicals &amp; Projections'!H$73,CF!$C18:$AL18)</f>
        <v>479.62890624999989</v>
      </c>
      <c r="I84" s="474">
        <f>SUMIF(CF!$C$7:$AL$7,'Historicals &amp; Projections'!I$73,CF!$C18:$AL18)</f>
        <v>481.19134880514719</v>
      </c>
    </row>
    <row r="85" spans="1:9 16365:16365" ht="15">
      <c r="A85" s="59"/>
      <c r="B85" s="71" t="s">
        <v>335</v>
      </c>
      <c r="C85" s="457">
        <v>-100</v>
      </c>
      <c r="D85" s="474">
        <f>+E23</f>
        <v>25</v>
      </c>
      <c r="E85" s="58"/>
      <c r="F85" s="58"/>
      <c r="G85" s="474">
        <f>SUMIF(CF!$C$7:$AL$7,'Historicals &amp; Projections'!G$73,CF!$C19:$AL19)</f>
        <v>-19.791666666666686</v>
      </c>
      <c r="H85" s="474">
        <f>SUMIF(CF!$C$7:$AL$7,'Historicals &amp; Projections'!H$73,CF!$C19:$AL19)</f>
        <v>284.35606060606062</v>
      </c>
      <c r="I85" s="474">
        <f>SUMIF(CF!$C$7:$AL$7,'Historicals &amp; Projections'!I$73,CF!$C19:$AL19)</f>
        <v>293.66477272727269</v>
      </c>
    </row>
    <row r="86" spans="1:9 16365:16365" ht="15">
      <c r="A86" s="59"/>
      <c r="B86" s="72" t="s">
        <v>59</v>
      </c>
      <c r="C86" s="455">
        <f>SUM(C75:C85)</f>
        <v>690</v>
      </c>
      <c r="D86" s="455">
        <f>SUM(D75:D85)</f>
        <v>1605</v>
      </c>
      <c r="E86" s="58"/>
      <c r="F86" s="58"/>
      <c r="G86" s="455">
        <f>SUMIF(CF!$C$7:$AL$7,'Historicals &amp; Projections'!G$73,CF!$C20:$AL20)</f>
        <v>-1541085.7331376728</v>
      </c>
      <c r="H86" s="455">
        <f>SUMIF(CF!$C$7:$AL$7,'Historicals &amp; Projections'!H$73,CF!$C20:$AL20)</f>
        <v>-2370784.9660838353</v>
      </c>
      <c r="I86" s="455">
        <f>SUMIF(CF!$C$7:$AL$7,'Historicals &amp; Projections'!I$73,CF!$C20:$AL20)</f>
        <v>-1771483.9847436629</v>
      </c>
    </row>
    <row r="87" spans="1:9 16365:16365" ht="15">
      <c r="A87" s="59"/>
      <c r="B87" s="58"/>
      <c r="C87" s="73"/>
      <c r="D87" s="73"/>
      <c r="E87" s="58"/>
      <c r="F87" s="58"/>
      <c r="G87" s="73"/>
      <c r="H87" s="73"/>
      <c r="I87" s="73"/>
    </row>
    <row r="88" spans="1:9 16365:16365" ht="15">
      <c r="A88" s="59"/>
      <c r="B88" s="71" t="s">
        <v>339</v>
      </c>
      <c r="C88" s="457">
        <v>200</v>
      </c>
      <c r="D88" s="454">
        <f>+D36</f>
        <v>125</v>
      </c>
      <c r="E88" s="58"/>
      <c r="F88" s="58"/>
      <c r="G88" s="454">
        <f>SUMIF(CF!$C$7:$AL$7,'Historicals &amp; Projections'!G$73,CF!$C22:$AL22)</f>
        <v>-1140</v>
      </c>
      <c r="H88" s="454">
        <f>SUMIF(CF!$C$7:$AL$7,'Historicals &amp; Projections'!H$73,CF!$C22:$AL22)</f>
        <v>-17500</v>
      </c>
      <c r="I88" s="454">
        <f>SUMIF(CF!$C$7:$AL$7,'Historicals &amp; Projections'!I$73,CF!$C22:$AL22)</f>
        <v>-80000</v>
      </c>
    </row>
    <row r="89" spans="1:9 16365:16365" ht="15">
      <c r="A89" s="59"/>
      <c r="B89" s="58" t="s">
        <v>612</v>
      </c>
      <c r="C89" s="457">
        <v>650</v>
      </c>
      <c r="D89" s="454">
        <f>+E17+D59+D36+D52-D51</f>
        <v>515</v>
      </c>
      <c r="E89" s="58"/>
      <c r="F89" s="58"/>
      <c r="G89" s="474">
        <f>SUMIF(CF!$C$7:$AL$7,'Historicals &amp; Projections'!G$73,CF!$C23:$AL23)</f>
        <v>0</v>
      </c>
      <c r="H89" s="474">
        <f>SUMIF(CF!$C$7:$AL$7,'Historicals &amp; Projections'!H$73,CF!$C23:$AL23)</f>
        <v>0</v>
      </c>
      <c r="I89" s="474">
        <f>SUMIF(CF!$C$7:$AL$7,'Historicals &amp; Projections'!I$73,CF!$C23:$AL23)</f>
        <v>0</v>
      </c>
    </row>
    <row r="90" spans="1:9 16365:16365" ht="15">
      <c r="A90" s="59"/>
      <c r="B90" s="72" t="s">
        <v>60</v>
      </c>
      <c r="C90" s="455">
        <f>+C88-C89</f>
        <v>-450</v>
      </c>
      <c r="D90" s="455">
        <f>+D88-D89</f>
        <v>-390</v>
      </c>
      <c r="E90" s="58"/>
      <c r="F90" s="58"/>
      <c r="G90" s="455">
        <f>SUMIF(CF!$C$7:$AL$7,'Historicals &amp; Projections'!G$73,CF!$C24:$AL24)</f>
        <v>-1140</v>
      </c>
      <c r="H90" s="455">
        <f>SUMIF(CF!$C$7:$AL$7,'Historicals &amp; Projections'!H$73,CF!$C24:$AL24)</f>
        <v>-17500</v>
      </c>
      <c r="I90" s="455">
        <f>SUMIF(CF!$C$7:$AL$7,'Historicals &amp; Projections'!I$73,CF!$C24:$AL24)</f>
        <v>-80000</v>
      </c>
    </row>
    <row r="91" spans="1:9 16365:16365" ht="15">
      <c r="A91" s="59"/>
      <c r="B91" s="58"/>
      <c r="C91" s="73"/>
      <c r="D91" s="73"/>
      <c r="E91" s="58"/>
      <c r="F91" s="58"/>
      <c r="G91" s="73"/>
      <c r="H91" s="73"/>
      <c r="I91" s="73"/>
    </row>
    <row r="92" spans="1:9 16365:16365" ht="15">
      <c r="A92" s="59"/>
      <c r="B92" s="71" t="s">
        <v>324</v>
      </c>
      <c r="C92" s="457">
        <v>0</v>
      </c>
      <c r="D92" s="474">
        <f>+D35</f>
        <v>100</v>
      </c>
      <c r="E92" s="58"/>
      <c r="F92" s="58"/>
      <c r="G92" s="474">
        <f>SUMIF(CF!$C$7:$AL$7,'Historicals &amp; Projections'!G$73,CF!$C26:$AL26)</f>
        <v>0</v>
      </c>
      <c r="H92" s="474">
        <f>SUMIF(CF!$C$7:$AL$7,'Historicals &amp; Projections'!H$73,CF!$C26:$AL26)</f>
        <v>0</v>
      </c>
      <c r="I92" s="474">
        <f>SUMIF(CF!$C$7:$AL$7,'Historicals &amp; Projections'!I$73,CF!$C26:$AL26)</f>
        <v>1000000</v>
      </c>
    </row>
    <row r="93" spans="1:9 16365:16365" ht="15">
      <c r="A93" s="59"/>
      <c r="B93" s="71" t="s">
        <v>333</v>
      </c>
      <c r="C93" s="457">
        <v>-70</v>
      </c>
      <c r="D93" s="474">
        <f>+D28-C28+D22-C22</f>
        <v>20</v>
      </c>
      <c r="E93" s="58"/>
      <c r="F93" s="58"/>
      <c r="G93" s="474">
        <f>SUMIF(CF!$C$7:$AL$7,'Historicals &amp; Projections'!G$73,CF!$C27:$AL27)</f>
        <v>500000</v>
      </c>
      <c r="H93" s="474">
        <f>SUMIF(CF!$C$7:$AL$7,'Historicals &amp; Projections'!H$73,CF!$C27:$AL27)</f>
        <v>550000</v>
      </c>
      <c r="I93" s="474">
        <f>SUMIF(CF!$C$7:$AL$7,'Historicals &amp; Projections'!I$73,CF!$C27:$AL27)</f>
        <v>0</v>
      </c>
      <c r="XEK93" s="221"/>
    </row>
    <row r="94" spans="1:9 16365:16365" ht="15">
      <c r="A94" s="59"/>
      <c r="B94" s="71" t="s">
        <v>322</v>
      </c>
      <c r="C94" s="457">
        <v>-45</v>
      </c>
      <c r="D94" s="474">
        <f>-D34</f>
        <v>-200</v>
      </c>
      <c r="E94" s="58"/>
      <c r="F94" s="58"/>
      <c r="G94" s="474">
        <f>SUMIF(CF!$C$7:$AL$7,'Historicals &amp; Projections'!G$73,CF!$C28:$AL28)</f>
        <v>0</v>
      </c>
      <c r="H94" s="474">
        <f>SUMIF(CF!$C$7:$AL$7,'Historicals &amp; Projections'!H$73,CF!$C28:$AL28)</f>
        <v>0</v>
      </c>
      <c r="I94" s="474">
        <f>SUMIF(CF!$C$7:$AL$7,'Historicals &amp; Projections'!I$73,CF!$C28:$AL28)</f>
        <v>0</v>
      </c>
    </row>
    <row r="95" spans="1:9 16365:16365" ht="15">
      <c r="A95" s="59"/>
      <c r="B95" s="72" t="s">
        <v>61</v>
      </c>
      <c r="C95" s="455">
        <f>SUM(C92:C94)</f>
        <v>-115</v>
      </c>
      <c r="D95" s="455">
        <f>SUM(D92:D94)</f>
        <v>-80</v>
      </c>
      <c r="E95" s="58"/>
      <c r="F95" s="58"/>
      <c r="G95" s="455">
        <f>SUMIF(CF!$C$7:$AL$7,'Historicals &amp; Projections'!G$73,CF!$C29:$AL29)</f>
        <v>500000</v>
      </c>
      <c r="H95" s="455">
        <f>SUMIF(CF!$C$7:$AL$7,'Historicals &amp; Projections'!H$73,CF!$C29:$AL29)</f>
        <v>550000</v>
      </c>
      <c r="I95" s="455">
        <f>SUMIF(CF!$C$7:$AL$7,'Historicals &amp; Projections'!I$73,CF!$C29:$AL29)</f>
        <v>1000000</v>
      </c>
    </row>
    <row r="96" spans="1:9 16365:16365" ht="15">
      <c r="A96" s="59"/>
      <c r="B96" s="58"/>
      <c r="C96" s="79"/>
      <c r="D96" s="79"/>
      <c r="E96" s="58"/>
      <c r="F96" s="58"/>
      <c r="G96" s="79"/>
      <c r="H96" s="79"/>
      <c r="I96" s="79"/>
    </row>
    <row r="97" spans="1:9" ht="15">
      <c r="A97" s="59"/>
      <c r="B97" s="71" t="s">
        <v>63</v>
      </c>
      <c r="C97" s="457">
        <f>+C86+C90+C95</f>
        <v>125</v>
      </c>
      <c r="D97" s="474">
        <f>+D86+D90+D95</f>
        <v>1135</v>
      </c>
      <c r="E97" s="58"/>
      <c r="F97" s="58"/>
      <c r="G97" s="474">
        <f>SUMIF(CF!$C$7:$AL$7,'Historicals &amp; Projections'!G$73,CF!$C31:$AL31)</f>
        <v>-1042225.7331376731</v>
      </c>
      <c r="H97" s="474">
        <f>SUMIF(CF!$C$7:$AL$7,'Historicals &amp; Projections'!H$73,CF!$C31:$AL31)</f>
        <v>-1838284.9660838353</v>
      </c>
      <c r="I97" s="474">
        <f>SUMIF(CF!$C$7:$AL$7,'Historicals &amp; Projections'!I$73,CF!$C31:$AL31)</f>
        <v>-851483.98474366299</v>
      </c>
    </row>
    <row r="98" spans="1:9" ht="15">
      <c r="A98" s="59"/>
      <c r="B98" s="71" t="s">
        <v>64</v>
      </c>
      <c r="C98" s="457">
        <v>50</v>
      </c>
      <c r="D98" s="474">
        <f>+C8</f>
        <v>175</v>
      </c>
      <c r="E98" s="58"/>
      <c r="F98" s="58"/>
      <c r="G98" s="474">
        <f>D100</f>
        <v>1310</v>
      </c>
      <c r="H98" s="474">
        <f>G100</f>
        <v>-1040915.7331376731</v>
      </c>
      <c r="I98" s="474">
        <f>H100</f>
        <v>-2879200.6992215086</v>
      </c>
    </row>
    <row r="99" spans="1:9" ht="15">
      <c r="A99" s="59"/>
      <c r="B99" s="58"/>
      <c r="C99" s="79"/>
      <c r="D99" s="79"/>
      <c r="E99" s="58"/>
      <c r="F99" s="58"/>
      <c r="G99" s="79"/>
      <c r="H99" s="58"/>
      <c r="I99" s="58"/>
    </row>
    <row r="100" spans="1:9" ht="15">
      <c r="A100" s="59"/>
      <c r="B100" s="74" t="s">
        <v>65</v>
      </c>
      <c r="C100" s="460">
        <f>+C97+C98</f>
        <v>175</v>
      </c>
      <c r="D100" s="460">
        <f>+D97+D98</f>
        <v>1310</v>
      </c>
      <c r="E100" s="58"/>
      <c r="F100" s="58"/>
      <c r="G100" s="460">
        <f>CF!N34</f>
        <v>-1040915.7331376731</v>
      </c>
      <c r="H100" s="460">
        <f>CF!Z34</f>
        <v>-2879200.6992215086</v>
      </c>
      <c r="I100" s="460">
        <f>CF!AL34</f>
        <v>-3730684.6839651708</v>
      </c>
    </row>
    <row r="101" spans="1:9" ht="15">
      <c r="A101" s="59"/>
      <c r="B101" s="58"/>
      <c r="C101" s="79"/>
      <c r="D101" s="79"/>
      <c r="E101" s="58"/>
      <c r="F101" s="58"/>
      <c r="G101" s="58"/>
      <c r="H101" s="58"/>
      <c r="I101" s="58"/>
    </row>
    <row r="102" spans="1:9" ht="15">
      <c r="A102" s="59"/>
      <c r="B102" s="66" t="s">
        <v>21</v>
      </c>
      <c r="C102" s="67">
        <f>+C100-C8</f>
        <v>0</v>
      </c>
      <c r="D102" s="67">
        <f>+D100-D8</f>
        <v>0</v>
      </c>
      <c r="E102" s="67"/>
      <c r="F102" s="67">
        <f>+F100-F8</f>
        <v>0</v>
      </c>
      <c r="G102" s="67">
        <f>+G100-G8</f>
        <v>0</v>
      </c>
      <c r="H102" s="67">
        <f>+H100-H8</f>
        <v>0</v>
      </c>
      <c r="I102" s="67">
        <f>+I100-I8</f>
        <v>0</v>
      </c>
    </row>
    <row r="103" spans="1:9" ht="15">
      <c r="A103" s="59"/>
      <c r="B103" s="68"/>
      <c r="C103" s="80"/>
      <c r="D103" s="80"/>
      <c r="E103" s="58"/>
      <c r="F103" s="58"/>
      <c r="G103" s="58"/>
      <c r="H103" s="58"/>
      <c r="I103" s="58"/>
    </row>
    <row r="104" spans="1:9" ht="15">
      <c r="A104" s="59"/>
      <c r="B104" s="68"/>
      <c r="C104" s="80"/>
      <c r="D104" s="80"/>
      <c r="E104" s="58"/>
      <c r="F104" s="58"/>
    </row>
    <row r="105" spans="1:9" ht="15">
      <c r="A105" s="59"/>
      <c r="B105" s="68"/>
      <c r="C105" s="80"/>
      <c r="D105" s="80"/>
      <c r="E105" s="58"/>
      <c r="F105" s="58"/>
    </row>
    <row r="106" spans="1:9" ht="15">
      <c r="A106" s="59"/>
      <c r="B106" s="68"/>
      <c r="C106" s="80"/>
      <c r="D106" s="80"/>
      <c r="E106" s="58"/>
      <c r="F106" s="58"/>
    </row>
    <row r="107" spans="1:9" ht="15">
      <c r="A107" s="59"/>
      <c r="B107" s="68"/>
      <c r="C107" s="80"/>
      <c r="D107" s="80"/>
      <c r="E107" s="58"/>
      <c r="F107" s="58"/>
    </row>
    <row r="108" spans="1:9" ht="15">
      <c r="A108" s="59"/>
      <c r="B108" s="68"/>
      <c r="C108" s="80"/>
      <c r="D108" s="80"/>
      <c r="E108" s="58"/>
      <c r="F108" s="58"/>
    </row>
    <row r="109" spans="1:9" ht="15">
      <c r="A109" s="59"/>
      <c r="B109" s="68"/>
      <c r="C109" s="80"/>
      <c r="D109" s="80"/>
      <c r="E109" s="58"/>
      <c r="F109" s="58"/>
    </row>
    <row r="110" spans="1:9" ht="15">
      <c r="A110" s="59"/>
      <c r="B110" s="58"/>
      <c r="C110" s="58"/>
      <c r="D110" s="58"/>
      <c r="E110" s="58"/>
      <c r="F110" s="58"/>
    </row>
    <row r="111" spans="1:9" ht="15">
      <c r="A111" s="59"/>
      <c r="B111" s="58"/>
      <c r="C111" s="58"/>
      <c r="D111" s="58"/>
      <c r="E111" s="58"/>
      <c r="F111" s="58"/>
    </row>
    <row r="112" spans="1:9" ht="15">
      <c r="A112" s="59"/>
      <c r="B112" s="58"/>
      <c r="C112" s="58"/>
      <c r="D112" s="58"/>
      <c r="E112" s="58"/>
      <c r="F112" s="58"/>
    </row>
    <row r="113" spans="1:6" ht="15">
      <c r="A113" s="59"/>
      <c r="B113" s="58"/>
      <c r="C113" s="58"/>
      <c r="D113" s="58"/>
      <c r="E113" s="58"/>
      <c r="F113" s="58"/>
    </row>
  </sheetData>
  <pageMargins left="0.7" right="0.7" top="0.75" bottom="0.75" header="0.3" footer="0.3"/>
  <pageSetup orientation="portrait" r:id="rId1"/>
  <ignoredErrors>
    <ignoredError sqref="D43" formulaRange="1"/>
    <ignoredError sqref="C1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1:N65"/>
  <sheetViews>
    <sheetView showGridLines="0" zoomScale="75" workbookViewId="0">
      <selection activeCell="J52" sqref="J52"/>
    </sheetView>
  </sheetViews>
  <sheetFormatPr baseColWidth="10" defaultColWidth="8.83203125" defaultRowHeight="14"/>
  <cols>
    <col min="1" max="1" width="6.6640625" style="21" customWidth="1"/>
    <col min="2" max="2" width="35.1640625" style="16" customWidth="1"/>
    <col min="3" max="7" width="11.33203125" style="16" customWidth="1"/>
    <col min="8" max="11" width="8.83203125" style="16"/>
    <col min="12" max="12" width="32.83203125" style="16" customWidth="1"/>
    <col min="13" max="16384" width="8.83203125" style="16"/>
  </cols>
  <sheetData>
    <row r="1" spans="1:14" s="318" customFormat="1" ht="16">
      <c r="A1" s="295" t="s">
        <v>38</v>
      </c>
      <c r="B1" s="296"/>
      <c r="C1" s="296"/>
      <c r="D1" s="296"/>
      <c r="E1" s="296"/>
      <c r="F1" s="296"/>
      <c r="G1" s="296"/>
    </row>
    <row r="2" spans="1:14" ht="15">
      <c r="A2" s="59"/>
      <c r="B2" s="58"/>
      <c r="C2" s="58"/>
      <c r="D2" s="58"/>
      <c r="E2" s="58"/>
      <c r="F2" s="58"/>
      <c r="G2" s="58"/>
    </row>
    <row r="3" spans="1:14" ht="15">
      <c r="A3" s="59"/>
      <c r="B3" s="58"/>
      <c r="C3" s="162" t="s">
        <v>549</v>
      </c>
      <c r="D3" s="58"/>
      <c r="E3" s="162" t="s">
        <v>570</v>
      </c>
      <c r="F3" s="58"/>
      <c r="G3" s="58"/>
    </row>
    <row r="4" spans="1:14" ht="16" thickBot="1">
      <c r="A4" s="59"/>
      <c r="B4" s="386" t="s">
        <v>39</v>
      </c>
      <c r="C4" s="387">
        <f>+'Historicals &amp; Projections'!C6</f>
        <v>2024</v>
      </c>
      <c r="D4" s="387">
        <f>+'Historicals &amp; Projections'!D6</f>
        <v>2025</v>
      </c>
      <c r="E4" s="387">
        <f>+'Historicals &amp; Projections'!G6</f>
        <v>2026</v>
      </c>
      <c r="F4" s="387">
        <f>+'Historicals &amp; Projections'!H6</f>
        <v>2027</v>
      </c>
      <c r="G4" s="387">
        <f>+'Historicals &amp; Projections'!I6</f>
        <v>2028</v>
      </c>
      <c r="H4" s="36"/>
      <c r="I4" s="36"/>
      <c r="J4" s="36"/>
      <c r="K4" s="81"/>
      <c r="L4" s="81"/>
      <c r="M4" s="81"/>
      <c r="N4" s="81"/>
    </row>
    <row r="5" spans="1:14" ht="15">
      <c r="A5" s="59"/>
      <c r="B5" s="57"/>
      <c r="C5" s="57"/>
      <c r="D5" s="57"/>
      <c r="E5" s="57"/>
      <c r="F5" s="57"/>
      <c r="G5" s="57"/>
      <c r="H5" s="81"/>
      <c r="I5" s="81"/>
      <c r="J5" s="81"/>
      <c r="K5" s="81"/>
      <c r="L5" s="81"/>
      <c r="M5" s="81"/>
      <c r="N5" s="81"/>
    </row>
    <row r="6" spans="1:14" ht="15">
      <c r="A6" s="59"/>
      <c r="B6" s="57"/>
      <c r="C6" s="57"/>
      <c r="D6" s="57"/>
      <c r="E6" s="57"/>
      <c r="F6" s="57"/>
      <c r="G6" s="57"/>
      <c r="H6" s="81"/>
      <c r="I6" s="81"/>
      <c r="J6" s="81"/>
      <c r="K6" s="81"/>
      <c r="L6" s="81"/>
      <c r="M6" s="81"/>
      <c r="N6" s="81"/>
    </row>
    <row r="7" spans="1:14" s="33" customFormat="1" ht="15">
      <c r="A7" s="91"/>
      <c r="B7" s="556" t="s">
        <v>40</v>
      </c>
      <c r="C7" s="551">
        <f>+'Historicals &amp; Projections'!C45/'Historicals &amp; Projections'!C40</f>
        <v>0.38</v>
      </c>
      <c r="D7" s="551">
        <f>+'Historicals &amp; Projections'!D45/'Historicals &amp; Projections'!D40</f>
        <v>0.38181818181818183</v>
      </c>
      <c r="E7" s="551">
        <f>+'Historicals &amp; Projections'!G45/'Historicals &amp; Projections'!G40</f>
        <v>0.30942565606421513</v>
      </c>
      <c r="F7" s="551">
        <f>+'Historicals &amp; Projections'!H45/'Historicals &amp; Projections'!H40</f>
        <v>0.31046916563819899</v>
      </c>
      <c r="G7" s="551">
        <f>+'Historicals &amp; Projections'!I45/'Historicals &amp; Projections'!I40</f>
        <v>0.31588366712442961</v>
      </c>
      <c r="H7" s="82"/>
      <c r="I7" s="82"/>
      <c r="J7" s="82"/>
      <c r="K7" s="35"/>
      <c r="L7" s="35"/>
      <c r="M7" s="35"/>
      <c r="N7" s="35"/>
    </row>
    <row r="8" spans="1:14" s="33" customFormat="1" ht="15">
      <c r="A8" s="91"/>
      <c r="B8" s="556" t="s">
        <v>68</v>
      </c>
      <c r="C8" s="552">
        <f>+'Historicals &amp; Projections'!C57/'Historicals &amp; Projections'!C40</f>
        <v>0.161</v>
      </c>
      <c r="D8" s="552">
        <f>+'Historicals &amp; Projections'!D57/'Historicals &amp; Projections'!D40</f>
        <v>0.16727272727272727</v>
      </c>
      <c r="E8" s="552">
        <f>+'Historicals &amp; Projections'!G57/'Historicals &amp; Projections'!G40</f>
        <v>-1.2249223257870758</v>
      </c>
      <c r="F8" s="552">
        <f>+'Historicals &amp; Projections'!H57/'Historicals &amp; Projections'!H40</f>
        <v>-6.9009636229629065E-2</v>
      </c>
      <c r="G8" s="552">
        <f>+'Historicals &amp; Projections'!I57/'Historicals &amp; Projections'!I40</f>
        <v>5.8864466355827559E-2</v>
      </c>
      <c r="H8" s="83"/>
      <c r="I8" s="83"/>
      <c r="J8" s="83"/>
      <c r="K8" s="35"/>
      <c r="L8" s="35"/>
      <c r="M8" s="35"/>
      <c r="N8" s="35"/>
    </row>
    <row r="9" spans="1:14" s="33" customFormat="1" ht="15">
      <c r="A9" s="91"/>
      <c r="B9" s="556" t="s">
        <v>43</v>
      </c>
      <c r="C9" s="552">
        <f>+'Historicals &amp; Projections'!C69/'Historicals &amp; Projections'!C40</f>
        <v>0.11899999999999999</v>
      </c>
      <c r="D9" s="552">
        <f>+'Historicals &amp; Projections'!D69/'Historicals &amp; Projections'!D40</f>
        <v>0.12636363636363637</v>
      </c>
      <c r="E9" s="552">
        <f>+'Historicals &amp; Projections'!G69/'Historicals &amp; Projections'!G40</f>
        <v>-1.8513286352131826</v>
      </c>
      <c r="F9" s="552">
        <f>+'Historicals &amp; Projections'!H69/'Historicals &amp; Projections'!H40</f>
        <v>-0.70019349674483</v>
      </c>
      <c r="G9" s="552">
        <f>+'Historicals &amp; Projections'!I69/'Historicals &amp; Projections'!I40</f>
        <v>-0.28840655483148342</v>
      </c>
      <c r="H9" s="83"/>
      <c r="I9" s="83"/>
      <c r="J9" s="83"/>
      <c r="K9" s="35"/>
      <c r="L9" s="35"/>
      <c r="M9" s="35"/>
      <c r="N9" s="35"/>
    </row>
    <row r="10" spans="1:14" s="33" customFormat="1" ht="15">
      <c r="A10" s="91"/>
      <c r="B10" s="556" t="s">
        <v>44</v>
      </c>
      <c r="C10" s="552">
        <f>+'Historicals &amp; Projections'!C69/'Historicals &amp; Projections'!C30</f>
        <v>2.38</v>
      </c>
      <c r="D10" s="552">
        <f>+'Historicals &amp; Projections'!D69/'Historicals &amp; Projections'!D30</f>
        <v>0.77653631284916202</v>
      </c>
      <c r="E10" s="552">
        <f>+'Historicals &amp; Projections'!G69/'Historicals &amp; Projections'!G30</f>
        <v>1.0011625965460482</v>
      </c>
      <c r="F10" s="552">
        <f>+'Historicals &amp; Projections'!H69/'Historicals &amp; Projections'!H30</f>
        <v>0.60653219545094295</v>
      </c>
      <c r="G10" s="552">
        <f>+'Historicals &amp; Projections'!I69/'Historicals &amp; Projections'!I30</f>
        <v>0.38065041616989842</v>
      </c>
      <c r="H10" s="83"/>
      <c r="I10" s="83"/>
      <c r="J10" s="83"/>
      <c r="K10" s="35"/>
      <c r="L10" s="35"/>
      <c r="M10" s="84"/>
      <c r="N10" s="35"/>
    </row>
    <row r="11" spans="1:14" s="33" customFormat="1" ht="15">
      <c r="A11" s="91"/>
      <c r="B11" s="556" t="s">
        <v>45</v>
      </c>
      <c r="C11" s="552">
        <f>+'Historicals &amp; Projections'!C69/('Historicals &amp; Projections'!C30+'Historicals &amp; Projections'!C28)</f>
        <v>1.19</v>
      </c>
      <c r="D11" s="552">
        <f>+'Historicals &amp; Projections'!D69/('Historicals &amp; Projections'!D30+'Historicals &amp; Projections'!D28)</f>
        <v>0.60173160173160178</v>
      </c>
      <c r="E11" s="552">
        <f>+'Historicals &amp; Projections'!G69/('Historicals &amp; Projections'!G30+'Historicals &amp; Projections'!G28)</f>
        <v>1.4833914707142262</v>
      </c>
      <c r="F11" s="552">
        <f>+'Historicals &amp; Projections'!H69/('Historicals &amp; Projections'!H30+'Historicals &amp; Projections'!H28)</f>
        <v>0.82912388836038553</v>
      </c>
      <c r="G11" s="552">
        <f>+'Historicals &amp; Projections'!I69/('Historicals &amp; Projections'!I30+'Historicals &amp; Projections'!I28)</f>
        <v>0.49012064763987917</v>
      </c>
      <c r="H11" s="83"/>
      <c r="I11" s="83"/>
      <c r="J11" s="83"/>
      <c r="K11" s="35"/>
      <c r="L11" s="35"/>
      <c r="M11" s="35"/>
      <c r="N11" s="35"/>
    </row>
    <row r="12" spans="1:14" s="33" customFormat="1" ht="15">
      <c r="A12" s="91"/>
      <c r="B12" s="556" t="s">
        <v>46</v>
      </c>
      <c r="C12" s="552">
        <f>+'Historicals &amp; Projections'!C69/'Historicals &amp; Projections'!C19</f>
        <v>0.83508771929824566</v>
      </c>
      <c r="D12" s="552">
        <f>+'Historicals &amp; Projections'!D69/'Historicals &amp; Projections'!D19</f>
        <v>0.46179401993355484</v>
      </c>
      <c r="E12" s="552">
        <f>+'Historicals &amp; Projections'!G69/'Historicals &amp; Projections'!G19</f>
        <v>1.4841758444012536</v>
      </c>
      <c r="F12" s="552">
        <f>+'Historicals &amp; Projections'!H69/'Historicals &amp; Projections'!H19</f>
        <v>0.82950441669196617</v>
      </c>
      <c r="G12" s="552">
        <f>+'Historicals &amp; Projections'!I69/'Historicals &amp; Projections'!I19</f>
        <v>0.4904009653203994</v>
      </c>
      <c r="H12" s="83"/>
      <c r="I12" s="83"/>
      <c r="J12" s="83"/>
      <c r="K12" s="35"/>
      <c r="L12" s="35"/>
      <c r="M12" s="35"/>
      <c r="N12" s="35"/>
    </row>
    <row r="13" spans="1:14" s="33" customFormat="1" ht="15">
      <c r="A13" s="91"/>
      <c r="B13" s="556" t="s">
        <v>173</v>
      </c>
      <c r="C13" s="553">
        <f>+'Historicals &amp; Projections'!C40/Assumptions!C13</f>
        <v>625</v>
      </c>
      <c r="D13" s="553">
        <f>+'Historicals &amp; Projections'!D40/Assumptions!C12</f>
        <v>687.5</v>
      </c>
      <c r="E13" s="553">
        <f>+'Historicals &amp; Projections'!G40/Assumptions!C12</f>
        <v>52038.541666666664</v>
      </c>
      <c r="F13" s="553">
        <f>+'Historicals &amp; Projections'!H40/Assumptions!C12</f>
        <v>211851.04166666666</v>
      </c>
      <c r="G13" s="553">
        <f>+'Historicals &amp; Projections'!I40/Assumptions!C12</f>
        <v>387982.8125</v>
      </c>
      <c r="H13" s="85"/>
      <c r="I13" s="85"/>
      <c r="J13" s="85"/>
      <c r="K13" s="35"/>
      <c r="L13" s="35"/>
      <c r="M13" s="35"/>
      <c r="N13" s="35"/>
    </row>
    <row r="14" spans="1:14" s="33" customFormat="1" ht="15">
      <c r="A14" s="91"/>
      <c r="B14" s="556" t="s">
        <v>177</v>
      </c>
      <c r="C14" s="553">
        <f>+'Historicals &amp; Projections'!C69/Assumptions!C13</f>
        <v>74.375</v>
      </c>
      <c r="D14" s="553">
        <f>+'Historicals &amp; Projections'!D69/Assumptions!C12</f>
        <v>86.875</v>
      </c>
      <c r="E14" s="553">
        <f>+'Historicals &amp; Projections'!G69/Assumptions!C12</f>
        <v>-96340.442322234332</v>
      </c>
      <c r="F14" s="553">
        <f>+'Historicals &amp; Projections'!H69/Assumptions!C12</f>
        <v>-148336.72165361801</v>
      </c>
      <c r="G14" s="553">
        <f>+'Historicals &amp; Projections'!I69/Assumptions!C12</f>
        <v>-111896.7862869544</v>
      </c>
      <c r="H14" s="85"/>
      <c r="I14" s="85"/>
      <c r="J14" s="85"/>
      <c r="K14" s="35"/>
      <c r="L14" s="35"/>
      <c r="M14" s="35"/>
      <c r="N14" s="35"/>
    </row>
    <row r="15" spans="1:14" s="33" customFormat="1" ht="15">
      <c r="A15" s="91"/>
      <c r="B15" s="556" t="s">
        <v>178</v>
      </c>
      <c r="C15" s="553">
        <f>+'Historicals &amp; Projections'!C57/Assumptions!C13</f>
        <v>100.625</v>
      </c>
      <c r="D15" s="553">
        <f>+'Historicals &amp; Projections'!D57/Assumptions!C13</f>
        <v>115</v>
      </c>
      <c r="E15" s="553">
        <f>+'Historicals &amp; Projections'!G57/Assumptions!C13</f>
        <v>-63743.171488900982</v>
      </c>
      <c r="F15" s="553">
        <f>+'Historicals &amp; Projections'!H57/Assumptions!C13</f>
        <v>-14619.763320284657</v>
      </c>
      <c r="G15" s="553">
        <f>+'Historicals &amp; Projections'!I57/Assumptions!C13</f>
        <v>22838.401213045603</v>
      </c>
      <c r="H15" s="85"/>
      <c r="I15" s="85"/>
      <c r="J15" s="85"/>
      <c r="K15" s="35"/>
      <c r="L15" s="35"/>
      <c r="M15" s="35"/>
      <c r="N15" s="35"/>
    </row>
    <row r="16" spans="1:14" ht="15">
      <c r="A16" s="59"/>
      <c r="B16" s="58"/>
      <c r="C16" s="58"/>
      <c r="D16" s="58"/>
      <c r="E16" s="58"/>
      <c r="F16" s="58"/>
      <c r="G16" s="58"/>
      <c r="H16" s="81"/>
      <c r="I16" s="81"/>
      <c r="J16" s="81"/>
      <c r="K16" s="81"/>
      <c r="L16" s="81"/>
      <c r="M16" s="81"/>
      <c r="N16" s="81"/>
    </row>
    <row r="17" spans="1:14" ht="15">
      <c r="A17" s="59"/>
      <c r="B17" s="58"/>
      <c r="C17" s="58"/>
      <c r="D17" s="58"/>
      <c r="E17" s="58"/>
      <c r="F17" s="58"/>
      <c r="G17" s="58"/>
      <c r="H17" s="81"/>
      <c r="I17" s="81"/>
      <c r="J17" s="81"/>
      <c r="K17" s="81"/>
      <c r="L17" s="81"/>
      <c r="M17" s="81"/>
      <c r="N17" s="81"/>
    </row>
    <row r="18" spans="1:14" ht="16" thickBot="1">
      <c r="A18" s="59"/>
      <c r="B18" s="386" t="s">
        <v>47</v>
      </c>
      <c r="C18" s="387">
        <f>+'Historicals &amp; Projections'!C38</f>
        <v>2024</v>
      </c>
      <c r="D18" s="387">
        <f>+'Historicals &amp; Projections'!D38</f>
        <v>2025</v>
      </c>
      <c r="E18" s="387">
        <f>+'Historicals &amp; Projections'!G38</f>
        <v>2026</v>
      </c>
      <c r="F18" s="387">
        <f>+'Historicals &amp; Projections'!H38</f>
        <v>2027</v>
      </c>
      <c r="G18" s="387">
        <f>+'Historicals &amp; Projections'!I38</f>
        <v>2028</v>
      </c>
      <c r="H18" s="36"/>
      <c r="I18" s="36"/>
      <c r="J18" s="36"/>
      <c r="K18" s="81"/>
      <c r="L18" s="81"/>
      <c r="M18" s="81"/>
      <c r="N18" s="81"/>
    </row>
    <row r="19" spans="1:14" ht="15">
      <c r="A19" s="59"/>
      <c r="B19" s="57"/>
      <c r="C19" s="57"/>
      <c r="D19" s="57"/>
      <c r="E19" s="57"/>
      <c r="F19" s="57"/>
      <c r="G19" s="57"/>
      <c r="H19" s="81"/>
      <c r="I19" s="81"/>
      <c r="J19" s="81"/>
      <c r="K19" s="81"/>
      <c r="L19" s="81"/>
      <c r="M19" s="81"/>
      <c r="N19" s="81"/>
    </row>
    <row r="20" spans="1:14" ht="15">
      <c r="A20" s="59"/>
      <c r="B20" s="57"/>
      <c r="C20" s="92"/>
      <c r="D20" s="92"/>
      <c r="E20" s="92"/>
      <c r="F20" s="92"/>
      <c r="G20" s="92"/>
      <c r="H20" s="81"/>
      <c r="I20" s="81"/>
      <c r="J20" s="81"/>
      <c r="K20" s="81"/>
      <c r="L20" s="81"/>
      <c r="M20" s="81"/>
      <c r="N20" s="81"/>
    </row>
    <row r="21" spans="1:14" ht="15">
      <c r="A21" s="59"/>
      <c r="B21" s="234" t="s">
        <v>48</v>
      </c>
      <c r="C21" s="554">
        <f>+'Historicals &amp; Projections'!C10+'Historicals &amp; Projections'!C9-'Historicals &amp; Projections'!C21+'Historicals &amp; Projections'!C11-'Historicals &amp; Projections'!C23</f>
        <v>525</v>
      </c>
      <c r="D21" s="554">
        <f>+'Historicals &amp; Projections'!D10+'Historicals &amp; Projections'!D9-'Historicals &amp; Projections'!D21+'Historicals &amp; Projections'!D11-'Historicals &amp; Projections'!D23</f>
        <v>450</v>
      </c>
      <c r="E21" s="554">
        <f>+'Historicals &amp; Projections'!G10+'Historicals &amp; Projections'!G9-'Historicals &amp; Projections'!G21+'Historicals &amp; Projections'!G11-'Historicals &amp; Projections'!G23</f>
        <v>436.65598192401961</v>
      </c>
      <c r="F21" s="554">
        <f>+'Historicals &amp; Projections'!H10+'Historicals &amp; Projections'!H9-'Historicals &amp; Projections'!H21+'Historicals &amp; Projections'!H11-'Historicals &amp; Projections'!H23</f>
        <v>1390.4089412043227</v>
      </c>
      <c r="G21" s="554">
        <f>+'Historicals &amp; Projections'!I10+'Historicals &amp; Projections'!I9-'Historicals &amp; Projections'!I21+'Historicals &amp; Projections'!I11-'Historicals &amp; Projections'!I23</f>
        <v>2373.8130935968138</v>
      </c>
      <c r="H21" s="86"/>
      <c r="I21" s="86"/>
      <c r="J21" s="86"/>
      <c r="K21" s="81"/>
      <c r="L21" s="81"/>
      <c r="M21" s="81"/>
      <c r="N21" s="81"/>
    </row>
    <row r="22" spans="1:14" ht="15">
      <c r="A22" s="59"/>
      <c r="B22" s="234" t="s">
        <v>69</v>
      </c>
      <c r="C22" s="554">
        <f>+'Historicals &amp; Projections'!C12-'Historicals &amp; Projections'!C24</f>
        <v>500</v>
      </c>
      <c r="D22" s="554">
        <f>+'Historicals &amp; Projections'!D12-'Historicals &amp; Projections'!D24</f>
        <v>1560</v>
      </c>
      <c r="E22" s="554">
        <f>+'Historicals &amp; Projections'!G12-'Historicals &amp; Projections'!G24</f>
        <v>-1040679.077155749</v>
      </c>
      <c r="F22" s="554">
        <f>+'Historicals &amp; Projections'!H12-'Historicals &amp; Projections'!H24</f>
        <v>-2878010.2902803044</v>
      </c>
      <c r="G22" s="554">
        <f>+'Historicals &amp; Projections'!I12-'Historicals &amp; Projections'!I24</f>
        <v>-3728510.8708715737</v>
      </c>
      <c r="H22" s="86"/>
      <c r="I22" s="86"/>
      <c r="J22" s="86"/>
      <c r="K22" s="81"/>
      <c r="L22" s="81"/>
      <c r="M22" s="81"/>
      <c r="N22" s="81"/>
    </row>
    <row r="23" spans="1:14" ht="15">
      <c r="A23" s="59"/>
      <c r="B23" s="234" t="s">
        <v>49</v>
      </c>
      <c r="C23" s="555">
        <f>+'Historicals &amp; Projections'!C12/'Historicals &amp; Projections'!C24</f>
        <v>2.1764705882352939</v>
      </c>
      <c r="D23" s="555">
        <f>+'Historicals &amp; Projections'!D12/'Historicals &amp; Projections'!D24</f>
        <v>3.2285714285714286</v>
      </c>
      <c r="E23" s="555">
        <f>+'Historicals &amp; Projections'!G12/'Historicals &amp; Projections'!G24</f>
        <v>-1893.9873924901453</v>
      </c>
      <c r="F23" s="555">
        <f>+'Historicals &amp; Projections'!H12/'Historicals &amp; Projections'!H24</f>
        <v>-2190.6682542476456</v>
      </c>
      <c r="G23" s="555">
        <f>+'Historicals &amp; Projections'!I12/'Historicals &amp; Projections'!I24</f>
        <v>-1784.6718057479638</v>
      </c>
      <c r="H23" s="86"/>
      <c r="I23" s="86"/>
      <c r="J23" s="86"/>
      <c r="K23" s="81"/>
      <c r="L23" s="81"/>
      <c r="M23" s="81"/>
      <c r="N23" s="81"/>
    </row>
    <row r="24" spans="1:14" ht="15">
      <c r="A24" s="59"/>
      <c r="B24" s="234" t="s">
        <v>50</v>
      </c>
      <c r="C24" s="555">
        <f>+'Historicals &amp; Projections'!C8/'Historicals &amp; Projections'!C24</f>
        <v>0.41176470588235292</v>
      </c>
      <c r="D24" s="555">
        <f>+'Historicals &amp; Projections'!D8/'Historicals &amp; Projections'!D24</f>
        <v>1.8714285714285714</v>
      </c>
      <c r="E24" s="555">
        <f>+'Historicals &amp; Projections'!G8/'Historicals &amp; Projections'!G24</f>
        <v>-1895.4183227470785</v>
      </c>
      <c r="F24" s="555">
        <f>+'Historicals &amp; Projections'!H8/'Historicals &amp; Projections'!H24</f>
        <v>-2192.5747768875476</v>
      </c>
      <c r="G24" s="555">
        <f>+'Historicals &amp; Projections'!I8/'Historicals &amp; Projections'!I24</f>
        <v>-1786.712896115308</v>
      </c>
      <c r="H24" s="87"/>
      <c r="I24" s="87"/>
      <c r="J24" s="86"/>
      <c r="K24" s="81"/>
      <c r="L24" s="81"/>
      <c r="M24" s="81"/>
      <c r="N24" s="81"/>
    </row>
    <row r="25" spans="1:14" ht="15">
      <c r="A25" s="59"/>
      <c r="B25" s="234" t="s">
        <v>51</v>
      </c>
      <c r="C25" s="555">
        <f>+('Historicals &amp; Projections'!C9+'Historicals &amp; Projections'!C8)/'Historicals &amp; Projections'!C24</f>
        <v>1.4705882352941178</v>
      </c>
      <c r="D25" s="555">
        <f>+('Historicals &amp; Projections'!D9+'Historicals &amp; Projections'!D8)/'Historicals &amp; Projections'!D24</f>
        <v>2.5857142857142859</v>
      </c>
      <c r="E25" s="555">
        <f>+('Historicals &amp; Projections'!G9+'Historicals &amp; Projections'!G8)/'Historicals &amp; Projections'!G24</f>
        <v>-1894.6675117375298</v>
      </c>
      <c r="F25" s="555">
        <f>+('Historicals &amp; Projections'!H9+'Historicals &amp; Projections'!H8)/'Historicals &amp; Projections'!H24</f>
        <v>-2191.5750604707619</v>
      </c>
      <c r="G25" s="555">
        <f>+('Historicals &amp; Projections'!I9+'Historicals &amp; Projections'!I8)/'Historicals &amp; Projections'!I24</f>
        <v>-1785.6388018778784</v>
      </c>
      <c r="H25" s="86"/>
      <c r="I25" s="86"/>
      <c r="J25" s="86"/>
      <c r="K25" s="81"/>
      <c r="L25" s="81"/>
      <c r="M25" s="81"/>
      <c r="N25" s="81"/>
    </row>
    <row r="26" spans="1:14" ht="15">
      <c r="A26" s="59"/>
      <c r="B26" s="234" t="s">
        <v>174</v>
      </c>
      <c r="C26" s="498">
        <f>+C22/'Historicals &amp; Projections'!$C$19</f>
        <v>0.35087719298245612</v>
      </c>
      <c r="D26" s="498">
        <f>+D22/'Historicals &amp; Projections'!$D$12</f>
        <v>0.69026548672566368</v>
      </c>
      <c r="E26" s="498">
        <f>+E22/'Historicals &amp; Projections'!$D$12</f>
        <v>-460.47746776803052</v>
      </c>
      <c r="F26" s="498">
        <f>+F22/'Historicals &amp; Projections'!$D$12</f>
        <v>-1273.4558806550019</v>
      </c>
      <c r="G26" s="498">
        <f>+G22/'Historicals &amp; Projections'!$D$12</f>
        <v>-1649.7835711821122</v>
      </c>
      <c r="H26" s="88"/>
      <c r="I26" s="88"/>
      <c r="J26" s="88"/>
      <c r="K26" s="81"/>
      <c r="L26" s="81"/>
      <c r="M26" s="81"/>
      <c r="N26" s="81"/>
    </row>
    <row r="27" spans="1:14" ht="15">
      <c r="A27" s="59"/>
      <c r="B27" s="58"/>
      <c r="C27" s="58"/>
      <c r="D27" s="58"/>
      <c r="E27" s="58"/>
      <c r="F27" s="58"/>
      <c r="G27" s="58"/>
      <c r="H27" s="81"/>
      <c r="I27" s="81"/>
      <c r="J27" s="81"/>
      <c r="K27" s="81"/>
      <c r="L27" s="81"/>
      <c r="M27" s="81"/>
      <c r="N27" s="81"/>
    </row>
    <row r="28" spans="1:14" ht="15">
      <c r="A28" s="59"/>
      <c r="B28" s="58"/>
      <c r="C28" s="58"/>
      <c r="D28" s="58"/>
      <c r="E28" s="58"/>
      <c r="F28" s="58"/>
      <c r="G28" s="58"/>
      <c r="H28" s="81"/>
      <c r="I28" s="81"/>
      <c r="J28" s="81"/>
      <c r="K28" s="81"/>
      <c r="L28" s="81"/>
      <c r="M28" s="81"/>
      <c r="N28" s="81"/>
    </row>
    <row r="29" spans="1:14" ht="16" thickBot="1">
      <c r="A29" s="59"/>
      <c r="B29" s="386" t="s">
        <v>52</v>
      </c>
      <c r="C29" s="386">
        <f>+C18</f>
        <v>2024</v>
      </c>
      <c r="D29" s="386">
        <f>+D18</f>
        <v>2025</v>
      </c>
      <c r="E29" s="386">
        <f>+E18</f>
        <v>2026</v>
      </c>
      <c r="F29" s="386">
        <f>+F18</f>
        <v>2027</v>
      </c>
      <c r="G29" s="386">
        <f>+G18</f>
        <v>2028</v>
      </c>
      <c r="H29" s="36"/>
      <c r="I29" s="36"/>
      <c r="J29" s="36"/>
      <c r="K29" s="81"/>
      <c r="L29" s="81"/>
      <c r="M29" s="81"/>
      <c r="N29" s="81"/>
    </row>
    <row r="30" spans="1:14" ht="15">
      <c r="A30" s="59"/>
      <c r="B30" s="57"/>
      <c r="C30" s="57"/>
      <c r="D30" s="57"/>
      <c r="E30" s="57"/>
      <c r="F30" s="57"/>
      <c r="G30" s="57"/>
      <c r="H30" s="81"/>
      <c r="I30" s="81"/>
      <c r="J30" s="81"/>
      <c r="K30" s="81"/>
      <c r="L30" s="81"/>
      <c r="M30" s="81"/>
      <c r="N30" s="81"/>
    </row>
    <row r="31" spans="1:14" ht="15">
      <c r="A31" s="59"/>
      <c r="B31" s="234" t="s">
        <v>70</v>
      </c>
      <c r="C31" s="554">
        <f>+'Historicals &amp; Projections'!C9/'Historicals &amp; Projections'!C40*365</f>
        <v>16.425000000000001</v>
      </c>
      <c r="D31" s="554">
        <f>+(('Historicals &amp; Projections'!C9+'Historicals &amp; Projections'!D9)/2)/'Historicals &amp; Projections'!D40*365</f>
        <v>15.761363636363637</v>
      </c>
      <c r="E31" s="554">
        <f>+(('Historicals &amp; Projections'!F9+'Historicals &amp; Projections'!G9)/2)/'Historicals &amp; Projections'!G40*365</f>
        <v>9.0377203561729763E-2</v>
      </c>
      <c r="F31" s="554">
        <f>+(('Historicals &amp; Projections'!G9+'Historicals &amp; Projections'!H9)/2)/'Historicals &amp; Projections'!H40*365</f>
        <v>9.2881664682741019E-2</v>
      </c>
      <c r="G31" s="554">
        <f>+(('Historicals &amp; Projections'!H9+'Historicals &amp; Projections'!I9)/2)/'Historicals &amp; Projections'!I40*365</f>
        <v>0.10452800533210677</v>
      </c>
      <c r="H31" s="86"/>
      <c r="I31" s="86"/>
      <c r="J31" s="86"/>
      <c r="K31" s="81"/>
      <c r="L31" s="81"/>
      <c r="M31" s="81"/>
      <c r="N31" s="81"/>
    </row>
    <row r="32" spans="1:14" ht="15">
      <c r="A32" s="59"/>
      <c r="B32" s="234" t="s">
        <v>71</v>
      </c>
      <c r="C32" s="554">
        <f>+'Historicals &amp; Projections'!C10/'Historicals &amp; Projections'!C43*365</f>
        <v>11.774193548387096</v>
      </c>
      <c r="D32" s="554">
        <f>+(('Historicals &amp; Projections'!C10+'Historicals &amp; Projections'!D10)/2)/'Historicals &amp; Projections'!D43*365</f>
        <v>13.419117647058824</v>
      </c>
      <c r="E32" s="554">
        <f>+(('Historicals &amp; Projections'!F10+'Historicals &amp; Projections'!G10)/2)/'Historicals &amp; Projections'!G43*365</f>
        <v>7.7222200639070704E-2</v>
      </c>
      <c r="F32" s="554">
        <f>+(('Historicals &amp; Projections'!G10+'Historicals &amp; Projections'!H10)/2)/'Historicals &amp; Projections'!H43*365</f>
        <v>7.96070081488226E-2</v>
      </c>
      <c r="G32" s="554">
        <f>+(('Historicals &amp; Projections'!H10+'Historicals &amp; Projections'!I10)/2)/'Historicals &amp; Projections'!I43*365</f>
        <v>8.9689542895049185E-2</v>
      </c>
      <c r="H32" s="86"/>
      <c r="I32" s="86"/>
      <c r="J32" s="86"/>
      <c r="K32" s="81"/>
      <c r="L32" s="81"/>
      <c r="M32" s="81"/>
      <c r="N32" s="81"/>
    </row>
    <row r="33" spans="1:14" ht="15">
      <c r="A33" s="59"/>
      <c r="B33" s="234" t="s">
        <v>72</v>
      </c>
      <c r="C33" s="554">
        <f>+'Historicals &amp; Projections'!C21/'Historicals &amp; Projections'!C43*365</f>
        <v>5.887096774193548</v>
      </c>
      <c r="D33" s="554">
        <f>+(('Historicals &amp; Projections'!C21+'Historicals &amp; Projections'!D21)/2)/'Historicals &amp; Projections'!D43*365</f>
        <v>12.077205882352942</v>
      </c>
      <c r="E33" s="554">
        <f>+(('Historicals &amp; Projections'!F21+'Historicals &amp; Projections'!G21)/2)/'Historicals &amp; Projections'!G43*365</f>
        <v>6.9499980575163628E-2</v>
      </c>
      <c r="F33" s="554">
        <f>+(('Historicals &amp; Projections'!G21+'Historicals &amp; Projections'!H21)/2)/'Historicals &amp; Projections'!H43*365</f>
        <v>7.164630733394034E-2</v>
      </c>
      <c r="G33" s="554">
        <f>+(('Historicals &amp; Projections'!H21+'Historicals &amp; Projections'!I21)/2)/'Historicals &amp; Projections'!I43*365</f>
        <v>8.072058860554425E-2</v>
      </c>
      <c r="H33" s="86"/>
      <c r="I33" s="86"/>
      <c r="J33" s="86"/>
      <c r="K33" s="81"/>
      <c r="L33" s="81"/>
      <c r="M33" s="81"/>
      <c r="N33" s="81"/>
    </row>
    <row r="34" spans="1:14" ht="15">
      <c r="A34" s="59"/>
      <c r="B34" s="234" t="s">
        <v>73</v>
      </c>
      <c r="C34" s="554">
        <f>+C31+C32-C33</f>
        <v>22.312096774193549</v>
      </c>
      <c r="D34" s="554">
        <f>+D31+D32-D33</f>
        <v>17.103275401069517</v>
      </c>
      <c r="E34" s="554">
        <f t="shared" ref="E34:G34" si="0">+E31+E32-E33</f>
        <v>9.8099423625636839E-2</v>
      </c>
      <c r="F34" s="554">
        <f t="shared" si="0"/>
        <v>0.10084236549762327</v>
      </c>
      <c r="G34" s="554">
        <f t="shared" si="0"/>
        <v>0.1134969596216117</v>
      </c>
      <c r="H34" s="86"/>
      <c r="I34" s="86"/>
      <c r="J34" s="86"/>
      <c r="K34" s="81"/>
      <c r="L34" s="81"/>
      <c r="M34" s="81"/>
      <c r="N34" s="81"/>
    </row>
    <row r="35" spans="1:14" ht="15">
      <c r="A35" s="59"/>
      <c r="B35" s="234" t="s">
        <v>56</v>
      </c>
      <c r="C35" s="554">
        <f>+'Historicals &amp; Projections'!C40/'Historicals &amp; Projections'!C32</f>
        <v>7.0175438596491224</v>
      </c>
      <c r="D35" s="554">
        <f>+'Historicals &amp; Projections'!D40/(('Historicals &amp; Projections'!C19+'Historicals &amp; Projections'!D19)/2)</f>
        <v>4.96054114994363</v>
      </c>
      <c r="E35" s="554">
        <f>+'Historicals &amp; Projections'!G40/(('Historicals &amp; Projections'!F19+'Historicals &amp; Projections'!G19)/2)</f>
        <v>-1.6033629212788025</v>
      </c>
      <c r="F35" s="554">
        <f>+'Historicals &amp; Projections'!H40/(('Historicals &amp; Projections'!G19+'Historicals &amp; Projections'!H19)/2)</f>
        <v>-1.7383543860321631</v>
      </c>
      <c r="G35" s="554">
        <f>+'Historicals &amp; Projections'!I40/(('Historicals &amp; Projections'!H19+'Historicals &amp; Projections'!I19)/2)</f>
        <v>-1.906550427261404</v>
      </c>
      <c r="H35" s="86"/>
      <c r="I35" s="86"/>
      <c r="J35" s="86"/>
      <c r="K35" s="81"/>
      <c r="L35" s="81"/>
      <c r="M35" s="81"/>
      <c r="N35" s="81"/>
    </row>
    <row r="36" spans="1:14" ht="15">
      <c r="A36" s="59"/>
      <c r="B36" s="234" t="s">
        <v>159</v>
      </c>
      <c r="C36" s="554">
        <f>+'Historicals &amp; Projections'!C40/'Historicals &amp; Projections'!C12</f>
        <v>10.810810810810811</v>
      </c>
      <c r="D36" s="554">
        <f>+'Historicals &amp; Projections'!D40/('Historicals &amp; Projections'!D17+'Historicals &amp; Projections'!C17)</f>
        <v>8.8000000000000007</v>
      </c>
      <c r="E36" s="554">
        <f>+'Historicals &amp; Projections'!G40/('Historicals &amp; Projections'!G17+'Historicals &amp; Projections'!F17)</f>
        <v>539.9589277993947</v>
      </c>
      <c r="F36" s="554">
        <f>+'Historicals &amp; Projections'!H40/('Historicals &amp; Projections'!H17+'Historicals &amp; Projections'!G17)</f>
        <v>199.06524675528064</v>
      </c>
      <c r="G36" s="554">
        <f>+'Historicals &amp; Projections'!I40/('Historicals &amp; Projections'!I17+'Historicals &amp; Projections'!H17)</f>
        <v>68.124428430332514</v>
      </c>
      <c r="H36" s="86"/>
      <c r="I36" s="86"/>
      <c r="J36" s="86"/>
      <c r="K36" s="81"/>
      <c r="L36" s="81"/>
      <c r="M36" s="81"/>
      <c r="N36" s="81"/>
    </row>
    <row r="37" spans="1:14" ht="15">
      <c r="A37" s="59"/>
      <c r="B37" s="234" t="s">
        <v>158</v>
      </c>
      <c r="C37" s="554">
        <f>+'Historicals &amp; Projections'!C57/'Historicals &amp; Projections'!C63</f>
        <v>32.200000000000003</v>
      </c>
      <c r="D37" s="554">
        <f>+'Historicals &amp; Projections'!D57/'Historicals &amp; Projections'!D63</f>
        <v>36.799999999999997</v>
      </c>
      <c r="E37" s="554">
        <f>+'Historicals &amp; Projections'!G57/'Historicals &amp; Projections'!G63</f>
        <v>-1.9567813455702268</v>
      </c>
      <c r="F37" s="554">
        <f>+'Historicals &amp; Projections'!H57/'Historicals &amp; Projections'!H63</f>
        <v>-0.10951569380080878</v>
      </c>
      <c r="G37" s="554">
        <f>+'Historicals &amp; Projections'!I57/'Historicals &amp; Projections'!I63</f>
        <v>0.17108097438743095</v>
      </c>
      <c r="H37" s="86"/>
      <c r="I37" s="86"/>
      <c r="J37" s="86"/>
      <c r="K37" s="81"/>
      <c r="L37" s="81"/>
      <c r="M37" s="81"/>
      <c r="N37" s="81"/>
    </row>
    <row r="38" spans="1:14" ht="15">
      <c r="A38" s="59"/>
      <c r="B38" s="234" t="s">
        <v>175</v>
      </c>
      <c r="C38" s="554">
        <f>+('Historicals &amp; Projections'!C40-'Historicals &amp; Projections'!C69)/Assumptions!C13</f>
        <v>550.625</v>
      </c>
      <c r="D38" s="554">
        <f>+('Historicals &amp; Projections'!D40-'Historicals &amp; Projections'!D69)/Assumptions!C12</f>
        <v>600.625</v>
      </c>
      <c r="E38" s="554">
        <f>+('Historicals &amp; Projections'!G40-'Historicals &amp; Projections'!G69)/Assumptions!C12</f>
        <v>148378.98398890099</v>
      </c>
      <c r="F38" s="554">
        <f>+('Historicals &amp; Projections'!H40-'Historicals &amp; Projections'!H69)/Assumptions!C12</f>
        <v>360187.76332028466</v>
      </c>
      <c r="G38" s="554">
        <f>+('Historicals &amp; Projections'!I40-'Historicals &amp; Projections'!I69)/Assumptions!C12</f>
        <v>499879.59878695442</v>
      </c>
      <c r="H38" s="86"/>
      <c r="I38" s="86"/>
      <c r="J38" s="86"/>
      <c r="K38" s="81"/>
      <c r="L38" s="81"/>
      <c r="M38" s="81"/>
      <c r="N38" s="81"/>
    </row>
    <row r="39" spans="1:14" ht="15">
      <c r="A39" s="59"/>
      <c r="B39" s="234" t="s">
        <v>176</v>
      </c>
      <c r="C39" s="554">
        <f>+'Historicals &amp; Projections'!C49/Assumptions!C13</f>
        <v>125</v>
      </c>
      <c r="D39" s="554">
        <f>+'Historicals &amp; Projections'!D49/Assumptions!C12</f>
        <v>137.5</v>
      </c>
      <c r="E39" s="554">
        <f>+'Historicals &amp; Projections'!G49/Assumptions!C12</f>
        <v>79741.950852272741</v>
      </c>
      <c r="F39" s="554">
        <f>+'Historicals &amp; Projections'!H49/Assumptions!C12</f>
        <v>79985.5672784091</v>
      </c>
      <c r="G39" s="554">
        <f>+'Historicals &amp; Projections'!I49/Assumptions!C12</f>
        <v>98975.989293409089</v>
      </c>
      <c r="H39" s="86"/>
      <c r="I39" s="86"/>
      <c r="J39" s="86"/>
      <c r="K39" s="81"/>
      <c r="L39" s="81"/>
      <c r="M39" s="81"/>
      <c r="N39" s="81"/>
    </row>
    <row r="40" spans="1:14" ht="15">
      <c r="A40" s="59"/>
      <c r="B40" s="57"/>
      <c r="C40" s="93"/>
      <c r="D40" s="93"/>
      <c r="E40" s="93"/>
      <c r="F40" s="93"/>
      <c r="G40" s="93"/>
      <c r="H40" s="81"/>
      <c r="I40" s="81"/>
      <c r="J40" s="81"/>
      <c r="K40" s="81"/>
      <c r="L40" s="81"/>
      <c r="M40" s="81"/>
      <c r="N40" s="81"/>
    </row>
    <row r="41" spans="1:14" ht="15">
      <c r="A41" s="59"/>
      <c r="B41" s="57"/>
      <c r="C41" s="93"/>
      <c r="D41" s="93"/>
      <c r="E41" s="93"/>
      <c r="F41" s="93"/>
      <c r="G41" s="93"/>
      <c r="H41" s="81"/>
      <c r="I41" s="81"/>
      <c r="J41" s="81"/>
      <c r="K41" s="81"/>
      <c r="L41" s="81"/>
      <c r="M41" s="81"/>
      <c r="N41" s="81"/>
    </row>
    <row r="42" spans="1:14" ht="15">
      <c r="A42" s="59"/>
      <c r="B42" s="58"/>
      <c r="C42" s="58"/>
      <c r="D42" s="58"/>
      <c r="E42" s="58"/>
      <c r="F42" s="58"/>
      <c r="G42" s="58"/>
      <c r="H42" s="81"/>
      <c r="I42" s="81"/>
      <c r="J42" s="81"/>
      <c r="K42" s="81"/>
      <c r="L42" s="81"/>
      <c r="M42" s="81"/>
      <c r="N42" s="81"/>
    </row>
    <row r="43" spans="1:14" ht="16" thickBot="1">
      <c r="A43" s="59"/>
      <c r="B43" s="386" t="s">
        <v>57</v>
      </c>
      <c r="C43" s="386">
        <f>+C4</f>
        <v>2024</v>
      </c>
      <c r="D43" s="386">
        <f>+D4</f>
        <v>2025</v>
      </c>
      <c r="E43" s="386">
        <f t="shared" ref="E43:F43" si="1">+E4</f>
        <v>2026</v>
      </c>
      <c r="F43" s="386">
        <f t="shared" si="1"/>
        <v>2027</v>
      </c>
      <c r="G43" s="386">
        <f t="shared" ref="G43" si="2">+G4</f>
        <v>2028</v>
      </c>
      <c r="H43" s="36"/>
      <c r="I43" s="36"/>
      <c r="J43" s="36"/>
      <c r="K43" s="36"/>
      <c r="L43" s="81"/>
      <c r="M43" s="81"/>
      <c r="N43" s="81"/>
    </row>
    <row r="44" spans="1:14" ht="15">
      <c r="A44" s="59"/>
      <c r="B44" s="57"/>
      <c r="C44" s="57"/>
      <c r="D44" s="57"/>
      <c r="E44" s="57"/>
      <c r="F44" s="57"/>
      <c r="G44" s="57"/>
      <c r="H44" s="81"/>
      <c r="I44" s="81"/>
      <c r="J44" s="36"/>
      <c r="K44" s="36"/>
      <c r="L44" s="81"/>
      <c r="M44" s="81"/>
      <c r="N44" s="81"/>
    </row>
    <row r="45" spans="1:14" ht="15">
      <c r="A45" s="59"/>
      <c r="B45" s="234" t="s">
        <v>78</v>
      </c>
      <c r="C45" s="498">
        <f>+'Historicals &amp; Projections'!C43/'Historicals &amp; Projections'!C40</f>
        <v>0.62</v>
      </c>
      <c r="D45" s="498">
        <f>+'Historicals &amp; Projections'!D43/'Historicals &amp; Projections'!D40</f>
        <v>0.61818181818181817</v>
      </c>
      <c r="E45" s="498">
        <f>+'Historicals &amp; Projections'!G43/'Historicals &amp; Projections'!G40</f>
        <v>0.69057434393578487</v>
      </c>
      <c r="F45" s="498">
        <f>+'Historicals &amp; Projections'!H43/'Historicals &amp; Projections'!H40</f>
        <v>0.68953083436180107</v>
      </c>
      <c r="G45" s="498">
        <f>+'Historicals &amp; Projections'!I43/'Historicals &amp; Projections'!I40</f>
        <v>0.68411633287557039</v>
      </c>
      <c r="H45" s="88"/>
      <c r="I45" s="88"/>
      <c r="J45" s="88"/>
      <c r="K45" s="36"/>
      <c r="L45" s="81"/>
      <c r="M45" s="81"/>
      <c r="N45" s="81"/>
    </row>
    <row r="46" spans="1:14" ht="15">
      <c r="A46" s="59"/>
      <c r="B46" s="234" t="s">
        <v>79</v>
      </c>
      <c r="C46" s="498">
        <f>+'Historicals &amp; Projections'!C41/'Historicals &amp; Projections'!C40</f>
        <v>0.6</v>
      </c>
      <c r="D46" s="498">
        <f>+'Historicals &amp; Projections'!D41/'Historicals &amp; Projections'!D40</f>
        <v>0.6</v>
      </c>
      <c r="E46" s="498">
        <f>+'Historicals &amp; Projections'!G41/'Historicals &amp; Projections'!G40</f>
        <v>0.67760318874231851</v>
      </c>
      <c r="F46" s="498">
        <f>+'Historicals &amp; Projections'!H41/'Historicals &amp; Projections'!H40</f>
        <v>0.68469842951759552</v>
      </c>
      <c r="G46" s="498">
        <f>+'Historicals &amp; Projections'!I41/'Historicals &amp; Projections'!I40</f>
        <v>0.68046282051798368</v>
      </c>
      <c r="H46" s="88"/>
      <c r="I46" s="88"/>
      <c r="J46" s="88"/>
      <c r="K46" s="36"/>
      <c r="L46" s="81"/>
      <c r="M46" s="81"/>
      <c r="N46" s="81"/>
    </row>
    <row r="47" spans="1:14" ht="15">
      <c r="A47" s="59"/>
      <c r="B47" s="234" t="s">
        <v>80</v>
      </c>
      <c r="C47" s="498">
        <f>+'Historicals &amp; Projections'!C42/'Historicals &amp; Projections'!C40</f>
        <v>0.02</v>
      </c>
      <c r="D47" s="498">
        <f>+'Historicals &amp; Projections'!D42/'Historicals &amp; Projections'!D40</f>
        <v>1.8181818181818181E-2</v>
      </c>
      <c r="E47" s="498">
        <f>+'Historicals &amp; Projections'!G42/'Historicals &amp; Projections'!G40</f>
        <v>1.2971155193466382E-2</v>
      </c>
      <c r="F47" s="498">
        <f>+'Historicals &amp; Projections'!H42/'Historicals &amp; Projections'!H40</f>
        <v>4.8324048442055885E-3</v>
      </c>
      <c r="G47" s="498">
        <f>+'Historicals &amp; Projections'!I42/'Historicals &amp; Projections'!I40</f>
        <v>3.6535123575867166E-3</v>
      </c>
      <c r="H47" s="88"/>
      <c r="I47" s="88"/>
      <c r="J47" s="88"/>
      <c r="K47" s="36"/>
      <c r="L47" s="81"/>
      <c r="M47" s="81"/>
      <c r="N47" s="81"/>
    </row>
    <row r="48" spans="1:14" ht="15">
      <c r="A48" s="59"/>
      <c r="B48" s="234" t="s">
        <v>157</v>
      </c>
      <c r="C48" s="498">
        <f>+'Historicals &amp; Projections'!C49/'Historicals &amp; Projections'!C40</f>
        <v>0.2</v>
      </c>
      <c r="D48" s="498">
        <f>+'Historicals &amp; Projections'!D49/'Historicals &amp; Projections'!D40</f>
        <v>0.2</v>
      </c>
      <c r="E48" s="498">
        <f>+'Historicals &amp; Projections'!G49/'Historicals &amp; Projections'!G40</f>
        <v>1.5323632887919978</v>
      </c>
      <c r="F48" s="498">
        <f>+'Historicals &amp; Projections'!H49/'Historicals &amp; Projections'!H40</f>
        <v>0.37755569502585218</v>
      </c>
      <c r="G48" s="498">
        <f>+'Historicals &amp; Projections'!I49/'Historicals &amp; Projections'!I40</f>
        <v>0.25510405642881173</v>
      </c>
      <c r="H48" s="88"/>
      <c r="I48" s="88"/>
      <c r="J48" s="88"/>
      <c r="K48" s="36"/>
      <c r="L48" s="81"/>
      <c r="M48" s="81"/>
      <c r="N48" s="81"/>
    </row>
    <row r="49" spans="1:14" ht="15">
      <c r="A49" s="59"/>
      <c r="B49" s="234" t="s">
        <v>95</v>
      </c>
      <c r="C49" s="498">
        <f>+'Historicals &amp; Projections'!C63/('Historicals &amp; Projections'!C28+'Historicals &amp; Projections'!C22)</f>
        <v>7.1428571428571425E-2</v>
      </c>
      <c r="D49" s="498">
        <f>+'Historicals &amp; Projections'!D63/('Historicals &amp; Projections'!D28+'Historicals &amp; Projections'!D22)</f>
        <v>6.9444444444444448E-2</v>
      </c>
      <c r="E49" s="498">
        <f>+'Historicals &amp; Projections'!G63/('Historicals &amp; Projections'!G28+'Historicals &amp; Projections'!G22)</f>
        <v>1.0409177451137033</v>
      </c>
      <c r="F49" s="498">
        <f>+'Historicals &amp; Projections'!H63/('Historicals &amp; Projections'!H28+'Historicals &amp; Projections'!H22)</f>
        <v>2.0328108344754079</v>
      </c>
      <c r="G49" s="498">
        <f>+'Historicals &amp; Projections'!I63/('Historicals &amp; Projections'!I28+'Historicals &amp; Projections'!I22)</f>
        <v>2.0328108344754079</v>
      </c>
      <c r="H49" s="88"/>
      <c r="I49" s="88"/>
      <c r="J49" s="88"/>
      <c r="K49" s="36"/>
      <c r="L49" s="81"/>
      <c r="M49" s="81"/>
      <c r="N49" s="81"/>
    </row>
    <row r="50" spans="1:14" ht="15">
      <c r="A50" s="59"/>
      <c r="B50" s="234" t="s">
        <v>99</v>
      </c>
      <c r="C50" s="498">
        <f>+'Historicals &amp; Projections'!C30/'Historicals &amp; Projections'!C19</f>
        <v>0.35087719298245612</v>
      </c>
      <c r="D50" s="498">
        <f>+'Historicals &amp; Projections'!D30/'Historicals &amp; Projections'!D19</f>
        <v>0.59468438538205981</v>
      </c>
      <c r="E50" s="498">
        <f>+'Historicals &amp; Projections'!G30/'Historicals &amp; Projections'!G19</f>
        <v>1.4824523504189753</v>
      </c>
      <c r="F50" s="498">
        <f>+'Historicals &amp; Projections'!H30/'Historicals &amp; Projections'!H19</f>
        <v>1.3676181131246437</v>
      </c>
      <c r="G50" s="498">
        <f>+'Historicals &amp; Projections'!I30/'Historicals &amp; Projections'!I19</f>
        <v>1.2883237335054303</v>
      </c>
      <c r="H50" s="88"/>
      <c r="I50" s="88"/>
      <c r="J50" s="88"/>
      <c r="K50" s="36"/>
      <c r="L50" s="81"/>
      <c r="M50" s="81"/>
      <c r="N50" s="81"/>
    </row>
    <row r="51" spans="1:14" ht="15">
      <c r="A51" s="59"/>
      <c r="B51" s="234" t="s">
        <v>100</v>
      </c>
      <c r="C51" s="498">
        <f>+('Historicals &amp; Projections'!C32-'Historicals &amp; Projections'!C30)/'Historicals &amp; Projections'!C32</f>
        <v>0.64912280701754388</v>
      </c>
      <c r="D51" s="498">
        <f>+('Historicals &amp; Projections'!D32-'Historicals &amp; Projections'!D30)/'Historicals &amp; Projections'!D32</f>
        <v>0.40531561461794019</v>
      </c>
      <c r="E51" s="498">
        <f>+('Historicals &amp; Projections'!G32-'Historicals &amp; Projections'!G30)/'Historicals &amp; Projections'!G32</f>
        <v>-0.48245235041897483</v>
      </c>
      <c r="F51" s="498">
        <f>+('Historicals &amp; Projections'!H32-'Historicals &amp; Projections'!H30)/'Historicals &amp; Projections'!H32</f>
        <v>-0.36761811312464393</v>
      </c>
      <c r="G51" s="498">
        <f>+('Historicals &amp; Projections'!I32-'Historicals &amp; Projections'!I30)/'Historicals &amp; Projections'!I32</f>
        <v>-0.28832373350542989</v>
      </c>
      <c r="H51" s="88"/>
      <c r="I51" s="88"/>
      <c r="J51" s="88"/>
      <c r="K51" s="36"/>
      <c r="L51" s="81"/>
      <c r="M51" s="81"/>
      <c r="N51" s="81"/>
    </row>
    <row r="52" spans="1:14" ht="15">
      <c r="A52" s="59"/>
      <c r="B52" s="234" t="s">
        <v>101</v>
      </c>
      <c r="C52" s="498">
        <f>+'Historicals &amp; Projections'!C17/'Historicals &amp; Projections'!C12</f>
        <v>0.54054054054054057</v>
      </c>
      <c r="D52" s="498">
        <f>+'Historicals &amp; Projections'!D17/'Historicals &amp; Projections'!D12</f>
        <v>0.33185840707964603</v>
      </c>
      <c r="E52" s="498">
        <f>+'Historicals &amp; Projections'!G17/'Historicals &amp; Projections'!G12</f>
        <v>-1.4825071333069285E-3</v>
      </c>
      <c r="F52" s="498">
        <f>+'Historicals &amp; Projections'!H17/'Historicals &amp; Projections'!H12</f>
        <v>-5.3831411383951948E-3</v>
      </c>
      <c r="G52" s="498">
        <f>+'Historicals &amp; Projections'!I17/'Historicals &amp; Projections'!I12</f>
        <v>-2.0297660680911225E-2</v>
      </c>
      <c r="H52" s="88"/>
      <c r="I52" s="88"/>
      <c r="J52" s="88"/>
      <c r="K52" s="36"/>
      <c r="L52" s="81"/>
      <c r="M52" s="81"/>
      <c r="N52" s="81"/>
    </row>
    <row r="53" spans="1:14" ht="15">
      <c r="A53" s="59"/>
      <c r="B53" s="234" t="s">
        <v>225</v>
      </c>
      <c r="C53" s="498">
        <f>+'Historicals &amp; Projections'!$C$12/'Historicals &amp; Projections'!$C$19</f>
        <v>0.64912280701754388</v>
      </c>
      <c r="D53" s="498">
        <f>+'Historicals &amp; Projections'!$C$12/'Historicals &amp; Projections'!$C$19</f>
        <v>0.64912280701754388</v>
      </c>
      <c r="E53" s="498">
        <f>+'Historicals &amp; Projections'!$C$12/'Historicals &amp; Projections'!$C$19</f>
        <v>0.64912280701754388</v>
      </c>
      <c r="F53" s="498">
        <f>+'Historicals &amp; Projections'!$C$12/'Historicals &amp; Projections'!$C$19</f>
        <v>0.64912280701754388</v>
      </c>
      <c r="G53" s="498">
        <f>+'Historicals &amp; Projections'!$C$12/'Historicals &amp; Projections'!$C$19</f>
        <v>0.64912280701754388</v>
      </c>
      <c r="H53" s="88"/>
      <c r="I53" s="88"/>
      <c r="J53" s="88"/>
      <c r="K53" s="36"/>
      <c r="L53" s="81"/>
      <c r="M53" s="81"/>
      <c r="N53" s="81"/>
    </row>
    <row r="54" spans="1:14" ht="15">
      <c r="A54" s="59"/>
      <c r="B54" s="234" t="s">
        <v>226</v>
      </c>
      <c r="C54" s="498">
        <f>+'Historicals &amp; Projections'!$C$8/'Historicals &amp; Projections'!$C$19</f>
        <v>0.12280701754385964</v>
      </c>
      <c r="D54" s="498">
        <f>+'Historicals &amp; Projections'!$C$8/'Historicals &amp; Projections'!$C$19</f>
        <v>0.12280701754385964</v>
      </c>
      <c r="E54" s="498">
        <f>+'Historicals &amp; Projections'!$C$8/'Historicals &amp; Projections'!$C$19</f>
        <v>0.12280701754385964</v>
      </c>
      <c r="F54" s="498">
        <f>+'Historicals &amp; Projections'!$C$8/'Historicals &amp; Projections'!$C$19</f>
        <v>0.12280701754385964</v>
      </c>
      <c r="G54" s="498">
        <f>+'Historicals &amp; Projections'!$C$8/'Historicals &amp; Projections'!$C$19</f>
        <v>0.12280701754385964</v>
      </c>
      <c r="H54" s="88"/>
      <c r="I54" s="88"/>
      <c r="J54" s="88"/>
      <c r="K54" s="36"/>
      <c r="L54" s="81"/>
      <c r="M54" s="81"/>
      <c r="N54" s="81"/>
    </row>
    <row r="55" spans="1:14" ht="15">
      <c r="A55" s="59"/>
      <c r="B55" s="234" t="s">
        <v>262</v>
      </c>
      <c r="C55" s="498">
        <f>+'Historicals &amp; Projections'!$C$10/'Historicals &amp; Projections'!$C$12</f>
        <v>0.21621621621621623</v>
      </c>
      <c r="D55" s="498">
        <f>+'Historicals &amp; Projections'!$C$10/'Historicals &amp; Projections'!$C$12</f>
        <v>0.21621621621621623</v>
      </c>
      <c r="E55" s="498">
        <f>+'Historicals &amp; Projections'!$C$10/'Historicals &amp; Projections'!$C$12</f>
        <v>0.21621621621621623</v>
      </c>
      <c r="F55" s="498">
        <f>+'Historicals &amp; Projections'!$C$10/'Historicals &amp; Projections'!$C$12</f>
        <v>0.21621621621621623</v>
      </c>
      <c r="G55" s="498">
        <f>+'Historicals &amp; Projections'!$C$10/'Historicals &amp; Projections'!$C$12</f>
        <v>0.21621621621621623</v>
      </c>
      <c r="H55" s="88"/>
      <c r="I55" s="88"/>
      <c r="J55" s="88"/>
      <c r="K55" s="36"/>
      <c r="L55" s="81"/>
      <c r="M55" s="81"/>
      <c r="N55" s="81"/>
    </row>
    <row r="56" spans="1:14" ht="15">
      <c r="A56" s="59"/>
      <c r="B56" s="58"/>
      <c r="C56" s="58"/>
      <c r="D56" s="58"/>
      <c r="E56" s="58"/>
      <c r="F56" s="58"/>
      <c r="G56" s="58"/>
      <c r="H56" s="36"/>
      <c r="I56" s="36"/>
      <c r="J56" s="36"/>
      <c r="K56" s="36"/>
      <c r="L56" s="81"/>
      <c r="M56" s="81"/>
      <c r="N56" s="81"/>
    </row>
    <row r="57" spans="1:14" ht="15">
      <c r="A57" s="59"/>
      <c r="B57" s="57"/>
      <c r="C57" s="57"/>
      <c r="D57" s="57"/>
      <c r="E57" s="57"/>
      <c r="F57" s="57"/>
      <c r="G57" s="57"/>
      <c r="H57" s="36"/>
      <c r="I57" s="36"/>
      <c r="J57" s="36"/>
      <c r="K57" s="36"/>
      <c r="L57" s="81"/>
      <c r="M57" s="81"/>
      <c r="N57" s="81"/>
    </row>
    <row r="58" spans="1:14" ht="15">
      <c r="A58" s="59"/>
      <c r="B58" s="57"/>
      <c r="C58" s="57"/>
      <c r="D58" s="57"/>
      <c r="E58" s="57"/>
      <c r="F58" s="57"/>
      <c r="G58" s="57"/>
      <c r="H58" s="36"/>
      <c r="I58" s="36"/>
      <c r="J58" s="36"/>
      <c r="K58" s="36"/>
      <c r="L58" s="81"/>
      <c r="M58" s="81"/>
      <c r="N58" s="81"/>
    </row>
    <row r="59" spans="1:14" ht="15">
      <c r="A59" s="59"/>
      <c r="B59" s="58"/>
      <c r="C59" s="58"/>
      <c r="D59" s="58"/>
      <c r="E59" s="58"/>
      <c r="F59" s="58"/>
      <c r="G59" s="58"/>
      <c r="H59" s="81"/>
      <c r="I59" s="81"/>
      <c r="J59" s="81"/>
      <c r="K59" s="81"/>
      <c r="L59" s="81"/>
      <c r="M59" s="81"/>
      <c r="N59" s="81"/>
    </row>
    <row r="60" spans="1:14" ht="15">
      <c r="A60" s="59"/>
      <c r="B60" s="58"/>
      <c r="C60" s="58"/>
      <c r="D60" s="58"/>
      <c r="E60" s="58"/>
      <c r="F60" s="58"/>
      <c r="G60" s="58"/>
      <c r="H60" s="81"/>
      <c r="I60" s="81"/>
      <c r="J60" s="81"/>
      <c r="K60" s="81"/>
      <c r="L60" s="81"/>
      <c r="M60" s="81"/>
      <c r="N60" s="81"/>
    </row>
    <row r="61" spans="1:14" ht="15">
      <c r="A61" s="59"/>
      <c r="B61" s="58"/>
      <c r="C61" s="58"/>
      <c r="D61" s="58"/>
      <c r="E61" s="58"/>
      <c r="F61" s="58"/>
      <c r="G61" s="58"/>
    </row>
    <row r="62" spans="1:14" ht="15">
      <c r="A62" s="59"/>
      <c r="B62" s="58"/>
      <c r="C62" s="58"/>
      <c r="D62" s="58"/>
      <c r="E62" s="58"/>
      <c r="F62" s="58"/>
      <c r="G62" s="58"/>
    </row>
    <row r="63" spans="1:14" ht="15">
      <c r="A63" s="59"/>
      <c r="B63" s="58"/>
      <c r="C63" s="58"/>
      <c r="D63" s="58"/>
      <c r="E63" s="58"/>
      <c r="F63" s="58"/>
      <c r="G63" s="58"/>
    </row>
    <row r="64" spans="1:14" ht="15">
      <c r="A64" s="59"/>
      <c r="B64" s="58"/>
      <c r="C64" s="58"/>
      <c r="D64" s="58"/>
      <c r="E64" s="58"/>
      <c r="F64" s="58"/>
      <c r="G64" s="58"/>
    </row>
    <row r="65" spans="1:7" ht="15">
      <c r="A65" s="59"/>
      <c r="B65" s="58"/>
      <c r="C65" s="58"/>
      <c r="D65" s="58"/>
      <c r="E65" s="58"/>
      <c r="F65" s="58"/>
      <c r="G65" s="5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/>
  </sheetPr>
  <dimension ref="A1:XEX130"/>
  <sheetViews>
    <sheetView showGridLines="0" tabSelected="1" zoomScale="67" zoomScaleNormal="100" workbookViewId="0">
      <selection activeCell="I10" sqref="I10"/>
    </sheetView>
  </sheetViews>
  <sheetFormatPr baseColWidth="10" defaultColWidth="8.83203125" defaultRowHeight="15"/>
  <cols>
    <col min="1" max="1" width="3.5" style="59" customWidth="1"/>
    <col min="2" max="2" width="23.1640625" style="58" customWidth="1"/>
    <col min="3" max="3" width="14.83203125" style="58" customWidth="1"/>
    <col min="4" max="5" width="16.1640625" style="58" customWidth="1"/>
    <col min="6" max="6" width="16.83203125" style="58" customWidth="1"/>
    <col min="7" max="7" width="17.1640625" style="58" customWidth="1"/>
    <col min="8" max="8" width="8.5" style="217" customWidth="1"/>
    <col min="9" max="9" width="21.5" style="58" customWidth="1"/>
    <col min="10" max="11" width="12" style="58" customWidth="1"/>
    <col min="12" max="12" width="10.1640625" style="58" customWidth="1"/>
    <col min="13" max="13" width="13.5" style="58" customWidth="1"/>
    <col min="14" max="14" width="10.5" style="58" customWidth="1"/>
    <col min="15" max="18" width="12.33203125" style="58" customWidth="1"/>
    <col min="19" max="19" width="14.1640625" style="58" customWidth="1"/>
    <col min="20" max="25" width="12.33203125" style="58" customWidth="1"/>
    <col min="26" max="26" width="12.33203125" style="248" customWidth="1"/>
    <col min="27" max="37" width="12.33203125" style="58" customWidth="1"/>
    <col min="38" max="38" width="12.33203125" style="248" customWidth="1"/>
    <col min="39" max="50" width="12.33203125" style="58" customWidth="1"/>
    <col min="51" max="16384" width="8.83203125" style="16"/>
  </cols>
  <sheetData>
    <row r="1" spans="1:50" s="323" customFormat="1" ht="16">
      <c r="A1" s="297" t="s">
        <v>512</v>
      </c>
      <c r="B1" s="298"/>
      <c r="C1" s="298"/>
      <c r="D1" s="298"/>
      <c r="E1" s="298"/>
      <c r="F1" s="298"/>
      <c r="G1" s="298"/>
      <c r="H1" s="337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33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338"/>
      <c r="AM1" s="298"/>
      <c r="AN1" s="298"/>
      <c r="AO1" s="298"/>
      <c r="AP1" s="298"/>
      <c r="AQ1" s="298"/>
      <c r="AR1" s="298"/>
      <c r="AS1" s="298"/>
      <c r="AT1" s="298"/>
      <c r="AU1" s="298"/>
      <c r="AV1" s="298"/>
      <c r="AW1" s="298"/>
      <c r="AX1" s="298"/>
    </row>
    <row r="2" spans="1:50" s="11" customFormat="1">
      <c r="A2" s="65"/>
      <c r="B2" s="56"/>
      <c r="C2" s="56"/>
      <c r="D2" s="56"/>
      <c r="E2" s="56"/>
      <c r="F2" s="56"/>
      <c r="G2" s="56"/>
      <c r="H2" s="21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240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240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</row>
    <row r="3" spans="1:50" s="335" customFormat="1">
      <c r="A3" s="330">
        <v>1</v>
      </c>
      <c r="B3" s="301" t="s">
        <v>185</v>
      </c>
      <c r="C3" s="301"/>
      <c r="D3" s="301"/>
      <c r="E3" s="301"/>
      <c r="F3" s="301"/>
      <c r="G3" s="301"/>
      <c r="H3" s="332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4"/>
      <c r="AA3" s="333"/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334"/>
      <c r="AM3" s="333"/>
      <c r="AN3" s="333"/>
      <c r="AO3" s="333"/>
      <c r="AP3" s="333"/>
      <c r="AQ3" s="333"/>
      <c r="AR3" s="333"/>
      <c r="AS3" s="333"/>
      <c r="AT3" s="333"/>
      <c r="AU3" s="333"/>
      <c r="AV3" s="333"/>
      <c r="AW3" s="333"/>
      <c r="AX3" s="333"/>
    </row>
    <row r="4" spans="1:50" s="11" customFormat="1">
      <c r="A4" s="65"/>
      <c r="B4" s="56"/>
      <c r="C4" s="56"/>
      <c r="D4" s="56"/>
      <c r="E4" s="56"/>
      <c r="F4" s="56"/>
      <c r="G4" s="56"/>
      <c r="H4" s="21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240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240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</row>
    <row r="5" spans="1:50" s="11" customFormat="1" ht="16" thickBot="1">
      <c r="A5" s="65"/>
      <c r="B5" s="341" t="s">
        <v>123</v>
      </c>
      <c r="C5" s="341"/>
      <c r="D5" s="341"/>
      <c r="E5" s="341"/>
      <c r="F5" s="341"/>
      <c r="G5" s="341"/>
      <c r="H5" s="356"/>
      <c r="I5" s="57"/>
      <c r="J5" s="57"/>
      <c r="K5" s="57"/>
      <c r="L5" s="57"/>
      <c r="M5" s="57"/>
      <c r="N5" s="57"/>
      <c r="O5" s="58"/>
      <c r="P5" s="58"/>
      <c r="Q5" s="58"/>
      <c r="R5" s="58"/>
      <c r="S5" s="58"/>
      <c r="T5" s="58"/>
      <c r="U5" s="56"/>
      <c r="V5" s="56"/>
      <c r="W5" s="56"/>
      <c r="X5" s="56"/>
      <c r="Y5" s="56"/>
      <c r="Z5" s="240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240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</row>
    <row r="6" spans="1:50" s="11" customFormat="1">
      <c r="A6" s="65"/>
      <c r="B6" s="58"/>
      <c r="C6" s="58"/>
      <c r="D6" s="58"/>
      <c r="E6" s="58"/>
      <c r="F6" s="58"/>
      <c r="G6" s="58"/>
      <c r="H6" s="21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6"/>
      <c r="V6" s="56"/>
      <c r="W6" s="56"/>
      <c r="X6" s="56"/>
      <c r="Y6" s="56"/>
      <c r="Z6" s="240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240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</row>
    <row r="7" spans="1:50" s="11" customFormat="1">
      <c r="A7" s="65"/>
      <c r="B7" s="57" t="s">
        <v>183</v>
      </c>
      <c r="C7" s="57"/>
      <c r="D7" s="57"/>
      <c r="E7" s="57"/>
      <c r="F7" s="57"/>
      <c r="G7" s="57"/>
      <c r="H7" s="578">
        <f>+Assumptions!C14</f>
        <v>0.06</v>
      </c>
      <c r="I7" s="188"/>
      <c r="J7" s="188"/>
      <c r="K7" s="188"/>
      <c r="L7" s="188"/>
      <c r="M7" s="188"/>
      <c r="N7" s="188"/>
      <c r="O7" s="58"/>
      <c r="P7" s="58"/>
      <c r="Q7" s="58"/>
      <c r="R7" s="58"/>
      <c r="S7" s="58"/>
      <c r="T7" s="58"/>
      <c r="U7" s="56"/>
      <c r="V7" s="56"/>
      <c r="W7" s="56"/>
      <c r="X7" s="56"/>
      <c r="Y7" s="56"/>
      <c r="Z7" s="240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240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</row>
    <row r="8" spans="1:50" s="11" customFormat="1">
      <c r="A8" s="65"/>
      <c r="B8" s="57" t="s">
        <v>182</v>
      </c>
      <c r="C8" s="57"/>
      <c r="D8" s="57"/>
      <c r="E8" s="57"/>
      <c r="F8" s="57"/>
      <c r="G8" s="57"/>
      <c r="H8" s="579">
        <f>3%</f>
        <v>0.03</v>
      </c>
      <c r="I8" s="188"/>
      <c r="J8" s="188"/>
      <c r="K8" s="188"/>
      <c r="L8" s="188"/>
      <c r="M8" s="188"/>
      <c r="N8" s="188"/>
      <c r="O8" s="58"/>
      <c r="P8" s="58"/>
      <c r="Q8" s="58"/>
      <c r="R8" s="58"/>
      <c r="S8" s="58"/>
      <c r="T8" s="58"/>
      <c r="U8" s="56"/>
      <c r="V8" s="56"/>
      <c r="W8" s="56"/>
      <c r="X8" s="56"/>
      <c r="Y8" s="56"/>
      <c r="Z8" s="240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240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</row>
    <row r="9" spans="1:50" s="11" customFormat="1">
      <c r="A9" s="65"/>
      <c r="B9" s="57" t="s">
        <v>179</v>
      </c>
      <c r="C9" s="57"/>
      <c r="D9" s="57"/>
      <c r="E9" s="57"/>
      <c r="F9" s="57"/>
      <c r="G9" s="57"/>
      <c r="H9" s="579">
        <f>+Assumptions!C15</f>
        <v>0.38181818181818183</v>
      </c>
      <c r="I9" s="188"/>
      <c r="J9" s="188"/>
      <c r="L9" s="188"/>
      <c r="M9" s="188"/>
      <c r="N9" s="188"/>
      <c r="O9" s="58"/>
      <c r="P9" s="58"/>
      <c r="Q9" s="58"/>
      <c r="R9" s="58"/>
      <c r="S9" s="58"/>
      <c r="T9" s="58"/>
      <c r="U9" s="56"/>
      <c r="V9" s="56"/>
      <c r="W9" s="56"/>
      <c r="X9" s="56"/>
      <c r="Y9" s="56"/>
      <c r="Z9" s="240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240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</row>
    <row r="10" spans="1:50" s="11" customFormat="1">
      <c r="A10" s="65"/>
      <c r="B10" s="57" t="s">
        <v>180</v>
      </c>
      <c r="C10" s="57"/>
      <c r="D10" s="57"/>
      <c r="E10" s="57"/>
      <c r="F10" s="57"/>
      <c r="G10" s="57"/>
      <c r="H10" s="189">
        <f>+'Historicals &amp; Projections'!D41/'Historicals &amp; Projections'!D43</f>
        <v>0.97058823529411764</v>
      </c>
      <c r="I10" s="188"/>
      <c r="J10" s="188"/>
      <c r="K10" s="188"/>
      <c r="L10" s="188"/>
      <c r="M10" s="188"/>
      <c r="N10" s="188"/>
      <c r="O10" s="58"/>
      <c r="P10" s="58"/>
      <c r="Q10" s="58"/>
      <c r="R10" s="58"/>
      <c r="S10" s="58"/>
      <c r="T10" s="58"/>
      <c r="U10" s="56"/>
      <c r="V10" s="56"/>
      <c r="W10" s="56"/>
      <c r="X10" s="56"/>
      <c r="Y10" s="56"/>
      <c r="Z10" s="240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240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</row>
    <row r="11" spans="1:50" s="11" customFormat="1">
      <c r="A11" s="65"/>
      <c r="C11" s="58"/>
      <c r="D11" s="58"/>
      <c r="E11" s="58"/>
      <c r="F11" s="58"/>
      <c r="G11" s="58"/>
      <c r="H11" s="217"/>
      <c r="I11" s="58"/>
      <c r="J11" s="58"/>
      <c r="K11" s="58"/>
      <c r="L11" s="58"/>
      <c r="M11" s="58"/>
      <c r="Z11" s="241"/>
      <c r="AL11" s="241"/>
    </row>
    <row r="12" spans="1:50" s="11" customFormat="1">
      <c r="A12" s="65"/>
      <c r="B12" s="200" t="s">
        <v>534</v>
      </c>
      <c r="C12" s="58"/>
      <c r="D12" s="58"/>
      <c r="E12" s="58"/>
      <c r="F12" s="58"/>
      <c r="G12" s="58"/>
      <c r="H12" s="217"/>
      <c r="I12" s="59"/>
      <c r="J12" s="59"/>
      <c r="K12" s="59"/>
      <c r="L12" s="59"/>
      <c r="M12" s="59"/>
      <c r="O12" s="163">
        <f>DATE(2026,1,31)</f>
        <v>46053</v>
      </c>
      <c r="P12" s="163">
        <f>EOMONTH(O12,0)+1</f>
        <v>46054</v>
      </c>
      <c r="Q12" s="163">
        <f t="shared" ref="Q12:Z12" si="0">EOMONTH(P12,0)+1</f>
        <v>46082</v>
      </c>
      <c r="R12" s="163">
        <f t="shared" si="0"/>
        <v>46113</v>
      </c>
      <c r="S12" s="163">
        <f t="shared" si="0"/>
        <v>46143</v>
      </c>
      <c r="T12" s="163">
        <f t="shared" si="0"/>
        <v>46174</v>
      </c>
      <c r="U12" s="163">
        <f t="shared" si="0"/>
        <v>46204</v>
      </c>
      <c r="V12" s="163">
        <f t="shared" si="0"/>
        <v>46235</v>
      </c>
      <c r="W12" s="163">
        <f t="shared" si="0"/>
        <v>46266</v>
      </c>
      <c r="X12" s="163">
        <f t="shared" si="0"/>
        <v>46296</v>
      </c>
      <c r="Y12" s="163">
        <f t="shared" si="0"/>
        <v>46327</v>
      </c>
      <c r="Z12" s="242">
        <f t="shared" si="0"/>
        <v>46357</v>
      </c>
      <c r="AA12" s="163">
        <f t="shared" ref="AA12" si="1">EOMONTH(Z12,0)+1</f>
        <v>46388</v>
      </c>
      <c r="AB12" s="163">
        <f t="shared" ref="AB12" si="2">EOMONTH(AA12,0)+1</f>
        <v>46419</v>
      </c>
      <c r="AC12" s="163">
        <f t="shared" ref="AC12" si="3">EOMONTH(AB12,0)+1</f>
        <v>46447</v>
      </c>
      <c r="AD12" s="163">
        <f t="shared" ref="AD12" si="4">EOMONTH(AC12,0)+1</f>
        <v>46478</v>
      </c>
      <c r="AE12" s="163">
        <f t="shared" ref="AE12" si="5">EOMONTH(AD12,0)+1</f>
        <v>46508</v>
      </c>
      <c r="AF12" s="163">
        <f t="shared" ref="AF12" si="6">EOMONTH(AE12,0)+1</f>
        <v>46539</v>
      </c>
      <c r="AG12" s="163">
        <f t="shared" ref="AG12" si="7">EOMONTH(AF12,0)+1</f>
        <v>46569</v>
      </c>
      <c r="AH12" s="163">
        <f t="shared" ref="AH12" si="8">EOMONTH(AG12,0)+1</f>
        <v>46600</v>
      </c>
      <c r="AI12" s="163">
        <f t="shared" ref="AI12" si="9">EOMONTH(AH12,0)+1</f>
        <v>46631</v>
      </c>
      <c r="AJ12" s="163">
        <f t="shared" ref="AJ12" si="10">EOMONTH(AI12,0)+1</f>
        <v>46661</v>
      </c>
      <c r="AK12" s="163">
        <f t="shared" ref="AK12" si="11">EOMONTH(AJ12,0)+1</f>
        <v>46692</v>
      </c>
      <c r="AL12" s="242">
        <f t="shared" ref="AL12" si="12">EOMONTH(AK12,0)+1</f>
        <v>46722</v>
      </c>
      <c r="AM12" s="163">
        <f t="shared" ref="AM12" si="13">EOMONTH(AL12,0)+1</f>
        <v>46753</v>
      </c>
      <c r="AN12" s="163">
        <f t="shared" ref="AN12" si="14">EOMONTH(AM12,0)+1</f>
        <v>46784</v>
      </c>
      <c r="AO12" s="163">
        <f t="shared" ref="AO12" si="15">EOMONTH(AN12,0)+1</f>
        <v>46813</v>
      </c>
      <c r="AP12" s="163">
        <f t="shared" ref="AP12" si="16">EOMONTH(AO12,0)+1</f>
        <v>46844</v>
      </c>
      <c r="AQ12" s="163">
        <f t="shared" ref="AQ12" si="17">EOMONTH(AP12,0)+1</f>
        <v>46874</v>
      </c>
      <c r="AR12" s="163">
        <f t="shared" ref="AR12" si="18">EOMONTH(AQ12,0)+1</f>
        <v>46905</v>
      </c>
      <c r="AS12" s="163">
        <f t="shared" ref="AS12" si="19">EOMONTH(AR12,0)+1</f>
        <v>46935</v>
      </c>
      <c r="AT12" s="163">
        <f t="shared" ref="AT12" si="20">EOMONTH(AS12,0)+1</f>
        <v>46966</v>
      </c>
      <c r="AU12" s="163">
        <f t="shared" ref="AU12" si="21">EOMONTH(AT12,0)+1</f>
        <v>46997</v>
      </c>
      <c r="AV12" s="163">
        <f t="shared" ref="AV12" si="22">EOMONTH(AU12,0)+1</f>
        <v>47027</v>
      </c>
      <c r="AW12" s="163">
        <f t="shared" ref="AW12" si="23">EOMONTH(AV12,0)+1</f>
        <v>47058</v>
      </c>
      <c r="AX12" s="163">
        <f t="shared" ref="AX12" si="24">EOMONTH(AW12,0)+1</f>
        <v>47088</v>
      </c>
    </row>
    <row r="13" spans="1:50" s="11" customFormat="1">
      <c r="A13" s="65"/>
      <c r="B13" s="200" t="s">
        <v>532</v>
      </c>
      <c r="C13" s="58"/>
      <c r="D13" s="58"/>
      <c r="E13" s="58"/>
      <c r="F13" s="58"/>
      <c r="G13" s="58"/>
      <c r="H13" s="217"/>
      <c r="I13" s="59"/>
      <c r="J13" s="59"/>
      <c r="K13" s="59"/>
      <c r="L13" s="59"/>
      <c r="M13" s="59"/>
      <c r="O13" s="428">
        <v>1</v>
      </c>
      <c r="P13" s="428">
        <f t="shared" ref="P13:Z13" si="25">O13+1</f>
        <v>2</v>
      </c>
      <c r="Q13" s="428">
        <f t="shared" si="25"/>
        <v>3</v>
      </c>
      <c r="R13" s="428">
        <f t="shared" si="25"/>
        <v>4</v>
      </c>
      <c r="S13" s="428">
        <f t="shared" si="25"/>
        <v>5</v>
      </c>
      <c r="T13" s="428">
        <f t="shared" si="25"/>
        <v>6</v>
      </c>
      <c r="U13" s="428">
        <f t="shared" si="25"/>
        <v>7</v>
      </c>
      <c r="V13" s="428">
        <f t="shared" si="25"/>
        <v>8</v>
      </c>
      <c r="W13" s="428">
        <f t="shared" si="25"/>
        <v>9</v>
      </c>
      <c r="X13" s="428">
        <f t="shared" si="25"/>
        <v>10</v>
      </c>
      <c r="Y13" s="428">
        <f t="shared" si="25"/>
        <v>11</v>
      </c>
      <c r="Z13" s="429">
        <f t="shared" si="25"/>
        <v>12</v>
      </c>
      <c r="AA13" s="428">
        <f t="shared" ref="AA13" si="26">Z13+1</f>
        <v>13</v>
      </c>
      <c r="AB13" s="428">
        <f t="shared" ref="AB13" si="27">AA13+1</f>
        <v>14</v>
      </c>
      <c r="AC13" s="428">
        <f t="shared" ref="AC13" si="28">AB13+1</f>
        <v>15</v>
      </c>
      <c r="AD13" s="428">
        <f t="shared" ref="AD13" si="29">AC13+1</f>
        <v>16</v>
      </c>
      <c r="AE13" s="428">
        <f t="shared" ref="AE13" si="30">AD13+1</f>
        <v>17</v>
      </c>
      <c r="AF13" s="428">
        <f t="shared" ref="AF13" si="31">AE13+1</f>
        <v>18</v>
      </c>
      <c r="AG13" s="428">
        <f t="shared" ref="AG13" si="32">AF13+1</f>
        <v>19</v>
      </c>
      <c r="AH13" s="428">
        <f t="shared" ref="AH13" si="33">AG13+1</f>
        <v>20</v>
      </c>
      <c r="AI13" s="428">
        <f t="shared" ref="AI13" si="34">AH13+1</f>
        <v>21</v>
      </c>
      <c r="AJ13" s="428">
        <f t="shared" ref="AJ13" si="35">AI13+1</f>
        <v>22</v>
      </c>
      <c r="AK13" s="428">
        <f t="shared" ref="AK13" si="36">AJ13+1</f>
        <v>23</v>
      </c>
      <c r="AL13" s="429">
        <f t="shared" ref="AL13" si="37">AK13+1</f>
        <v>24</v>
      </c>
      <c r="AM13" s="428">
        <f t="shared" ref="AM13" si="38">AL13+1</f>
        <v>25</v>
      </c>
      <c r="AN13" s="428">
        <f t="shared" ref="AN13" si="39">AM13+1</f>
        <v>26</v>
      </c>
      <c r="AO13" s="428">
        <f t="shared" ref="AO13" si="40">AN13+1</f>
        <v>27</v>
      </c>
      <c r="AP13" s="428">
        <f t="shared" ref="AP13" si="41">AO13+1</f>
        <v>28</v>
      </c>
      <c r="AQ13" s="428">
        <f t="shared" ref="AQ13" si="42">AP13+1</f>
        <v>29</v>
      </c>
      <c r="AR13" s="428">
        <f t="shared" ref="AR13" si="43">AQ13+1</f>
        <v>30</v>
      </c>
      <c r="AS13" s="428">
        <f t="shared" ref="AS13" si="44">AR13+1</f>
        <v>31</v>
      </c>
      <c r="AT13" s="428">
        <f t="shared" ref="AT13" si="45">AS13+1</f>
        <v>32</v>
      </c>
      <c r="AU13" s="428">
        <f t="shared" ref="AU13" si="46">AT13+1</f>
        <v>33</v>
      </c>
      <c r="AV13" s="428">
        <f t="shared" ref="AV13" si="47">AU13+1</f>
        <v>34</v>
      </c>
      <c r="AW13" s="428">
        <f t="shared" ref="AW13" si="48">AV13+1</f>
        <v>35</v>
      </c>
      <c r="AX13" s="428">
        <f t="shared" ref="AX13" si="49">AW13+1</f>
        <v>36</v>
      </c>
    </row>
    <row r="14" spans="1:50" s="11" customFormat="1">
      <c r="A14" s="65"/>
      <c r="B14" s="200" t="s">
        <v>533</v>
      </c>
      <c r="C14" s="58"/>
      <c r="D14" s="58"/>
      <c r="E14" s="58"/>
      <c r="F14" s="58"/>
      <c r="G14" s="58"/>
      <c r="H14" s="217"/>
      <c r="I14" s="59"/>
      <c r="J14" s="59"/>
      <c r="K14" s="59"/>
      <c r="L14" s="59"/>
      <c r="M14" s="59"/>
      <c r="O14" s="428">
        <f>ROUNDUP(O13/12, 0)</f>
        <v>1</v>
      </c>
      <c r="P14" s="428">
        <f>ROUNDUP(P13/12, 0)</f>
        <v>1</v>
      </c>
      <c r="Q14" s="428">
        <f t="shared" ref="Q14:Z14" si="50">ROUNDUP(Q13/12, 0)</f>
        <v>1</v>
      </c>
      <c r="R14" s="428">
        <f t="shared" si="50"/>
        <v>1</v>
      </c>
      <c r="S14" s="428">
        <f t="shared" si="50"/>
        <v>1</v>
      </c>
      <c r="T14" s="428">
        <f t="shared" si="50"/>
        <v>1</v>
      </c>
      <c r="U14" s="428">
        <f t="shared" si="50"/>
        <v>1</v>
      </c>
      <c r="V14" s="428">
        <f t="shared" si="50"/>
        <v>1</v>
      </c>
      <c r="W14" s="428">
        <f t="shared" si="50"/>
        <v>1</v>
      </c>
      <c r="X14" s="428">
        <f t="shared" si="50"/>
        <v>1</v>
      </c>
      <c r="Y14" s="428">
        <f t="shared" si="50"/>
        <v>1</v>
      </c>
      <c r="Z14" s="429">
        <f t="shared" si="50"/>
        <v>1</v>
      </c>
      <c r="AA14" s="428">
        <f t="shared" ref="AA14" si="51">ROUNDUP(AA13/12, 0)</f>
        <v>2</v>
      </c>
      <c r="AB14" s="428">
        <f t="shared" ref="AB14" si="52">ROUNDUP(AB13/12, 0)</f>
        <v>2</v>
      </c>
      <c r="AC14" s="428">
        <f t="shared" ref="AC14" si="53">ROUNDUP(AC13/12, 0)</f>
        <v>2</v>
      </c>
      <c r="AD14" s="428">
        <f t="shared" ref="AD14" si="54">ROUNDUP(AD13/12, 0)</f>
        <v>2</v>
      </c>
      <c r="AE14" s="428">
        <f t="shared" ref="AE14" si="55">ROUNDUP(AE13/12, 0)</f>
        <v>2</v>
      </c>
      <c r="AF14" s="428">
        <f t="shared" ref="AF14" si="56">ROUNDUP(AF13/12, 0)</f>
        <v>2</v>
      </c>
      <c r="AG14" s="428">
        <f t="shared" ref="AG14" si="57">ROUNDUP(AG13/12, 0)</f>
        <v>2</v>
      </c>
      <c r="AH14" s="428">
        <f t="shared" ref="AH14" si="58">ROUNDUP(AH13/12, 0)</f>
        <v>2</v>
      </c>
      <c r="AI14" s="428">
        <f t="shared" ref="AI14" si="59">ROUNDUP(AI13/12, 0)</f>
        <v>2</v>
      </c>
      <c r="AJ14" s="428">
        <f t="shared" ref="AJ14" si="60">ROUNDUP(AJ13/12, 0)</f>
        <v>2</v>
      </c>
      <c r="AK14" s="428">
        <f t="shared" ref="AK14" si="61">ROUNDUP(AK13/12, 0)</f>
        <v>2</v>
      </c>
      <c r="AL14" s="429">
        <f t="shared" ref="AL14" si="62">ROUNDUP(AL13/12, 0)</f>
        <v>2</v>
      </c>
      <c r="AM14" s="428">
        <f t="shared" ref="AM14" si="63">ROUNDUP(AM13/12, 0)</f>
        <v>3</v>
      </c>
      <c r="AN14" s="428">
        <f t="shared" ref="AN14" si="64">ROUNDUP(AN13/12, 0)</f>
        <v>3</v>
      </c>
      <c r="AO14" s="428">
        <f t="shared" ref="AO14" si="65">ROUNDUP(AO13/12, 0)</f>
        <v>3</v>
      </c>
      <c r="AP14" s="428">
        <f t="shared" ref="AP14" si="66">ROUNDUP(AP13/12, 0)</f>
        <v>3</v>
      </c>
      <c r="AQ14" s="428">
        <f t="shared" ref="AQ14" si="67">ROUNDUP(AQ13/12, 0)</f>
        <v>3</v>
      </c>
      <c r="AR14" s="428">
        <f t="shared" ref="AR14" si="68">ROUNDUP(AR13/12, 0)</f>
        <v>3</v>
      </c>
      <c r="AS14" s="428">
        <f t="shared" ref="AS14" si="69">ROUNDUP(AS13/12, 0)</f>
        <v>3</v>
      </c>
      <c r="AT14" s="428">
        <f t="shared" ref="AT14" si="70">ROUNDUP(AT13/12, 0)</f>
        <v>3</v>
      </c>
      <c r="AU14" s="428">
        <f t="shared" ref="AU14" si="71">ROUNDUP(AU13/12, 0)</f>
        <v>3</v>
      </c>
      <c r="AV14" s="428">
        <f t="shared" ref="AV14" si="72">ROUNDUP(AV13/12, 0)</f>
        <v>3</v>
      </c>
      <c r="AW14" s="428">
        <f t="shared" ref="AW14" si="73">ROUNDUP(AW13/12, 0)</f>
        <v>3</v>
      </c>
      <c r="AX14" s="428">
        <f t="shared" ref="AX14" si="74">ROUNDUP(AX13/12, 0)</f>
        <v>3</v>
      </c>
    </row>
    <row r="15" spans="1:50" s="11" customFormat="1" ht="16" thickBot="1">
      <c r="A15" s="65"/>
      <c r="B15" s="341" t="s">
        <v>246</v>
      </c>
      <c r="C15" s="341">
        <v>2026</v>
      </c>
      <c r="D15" s="341">
        <f>C15+1</f>
        <v>2027</v>
      </c>
      <c r="E15" s="341">
        <f>D15+1</f>
        <v>2028</v>
      </c>
      <c r="F15" s="341">
        <f>E15+1</f>
        <v>2029</v>
      </c>
      <c r="G15" s="357"/>
      <c r="H15" s="358"/>
      <c r="I15" s="357"/>
      <c r="J15" s="357"/>
      <c r="K15" s="357"/>
      <c r="L15" s="357"/>
      <c r="M15" s="357"/>
      <c r="N15" s="357"/>
      <c r="O15" s="341">
        <f>YEAR(O12)</f>
        <v>2026</v>
      </c>
      <c r="P15" s="341">
        <f t="shared" ref="P15:AL15" si="75">YEAR(P12)</f>
        <v>2026</v>
      </c>
      <c r="Q15" s="341">
        <f t="shared" si="75"/>
        <v>2026</v>
      </c>
      <c r="R15" s="341">
        <f t="shared" si="75"/>
        <v>2026</v>
      </c>
      <c r="S15" s="341">
        <f t="shared" si="75"/>
        <v>2026</v>
      </c>
      <c r="T15" s="341">
        <f t="shared" si="75"/>
        <v>2026</v>
      </c>
      <c r="U15" s="341">
        <f t="shared" si="75"/>
        <v>2026</v>
      </c>
      <c r="V15" s="341">
        <f t="shared" si="75"/>
        <v>2026</v>
      </c>
      <c r="W15" s="341">
        <f t="shared" si="75"/>
        <v>2026</v>
      </c>
      <c r="X15" s="341">
        <f t="shared" si="75"/>
        <v>2026</v>
      </c>
      <c r="Y15" s="341">
        <f t="shared" si="75"/>
        <v>2026</v>
      </c>
      <c r="Z15" s="359">
        <f t="shared" si="75"/>
        <v>2026</v>
      </c>
      <c r="AA15" s="341">
        <f t="shared" si="75"/>
        <v>2027</v>
      </c>
      <c r="AB15" s="341">
        <f t="shared" si="75"/>
        <v>2027</v>
      </c>
      <c r="AC15" s="341">
        <f t="shared" si="75"/>
        <v>2027</v>
      </c>
      <c r="AD15" s="341">
        <f t="shared" si="75"/>
        <v>2027</v>
      </c>
      <c r="AE15" s="341">
        <f t="shared" si="75"/>
        <v>2027</v>
      </c>
      <c r="AF15" s="341">
        <f t="shared" si="75"/>
        <v>2027</v>
      </c>
      <c r="AG15" s="341">
        <f t="shared" si="75"/>
        <v>2027</v>
      </c>
      <c r="AH15" s="341">
        <f t="shared" si="75"/>
        <v>2027</v>
      </c>
      <c r="AI15" s="341">
        <f t="shared" si="75"/>
        <v>2027</v>
      </c>
      <c r="AJ15" s="341">
        <f t="shared" si="75"/>
        <v>2027</v>
      </c>
      <c r="AK15" s="341">
        <f t="shared" si="75"/>
        <v>2027</v>
      </c>
      <c r="AL15" s="359">
        <f t="shared" si="75"/>
        <v>2027</v>
      </c>
      <c r="AM15" s="341">
        <f t="shared" ref="AM15:AV15" si="76">YEAR(AM12)</f>
        <v>2028</v>
      </c>
      <c r="AN15" s="341">
        <f t="shared" si="76"/>
        <v>2028</v>
      </c>
      <c r="AO15" s="341">
        <f t="shared" si="76"/>
        <v>2028</v>
      </c>
      <c r="AP15" s="341">
        <f t="shared" si="76"/>
        <v>2028</v>
      </c>
      <c r="AQ15" s="341">
        <f t="shared" si="76"/>
        <v>2028</v>
      </c>
      <c r="AR15" s="341">
        <f t="shared" si="76"/>
        <v>2028</v>
      </c>
      <c r="AS15" s="341">
        <f t="shared" si="76"/>
        <v>2028</v>
      </c>
      <c r="AT15" s="341">
        <f t="shared" si="76"/>
        <v>2028</v>
      </c>
      <c r="AU15" s="341">
        <f t="shared" si="76"/>
        <v>2028</v>
      </c>
      <c r="AV15" s="341">
        <f t="shared" si="76"/>
        <v>2028</v>
      </c>
      <c r="AW15" s="341">
        <f t="shared" ref="AW15:AX15" si="77">YEAR(AW12)</f>
        <v>2028</v>
      </c>
      <c r="AX15" s="341">
        <f t="shared" si="77"/>
        <v>2028</v>
      </c>
    </row>
    <row r="16" spans="1:50" s="11" customFormat="1" ht="16">
      <c r="A16" s="65"/>
      <c r="B16" s="69"/>
      <c r="C16" s="69"/>
      <c r="D16" s="69"/>
      <c r="E16" s="69"/>
      <c r="F16" s="69"/>
      <c r="G16" s="69"/>
      <c r="H16" s="217"/>
      <c r="I16" s="339" t="s">
        <v>553</v>
      </c>
      <c r="J16" s="339"/>
      <c r="K16" s="339"/>
      <c r="L16" s="339"/>
      <c r="M16" s="339"/>
      <c r="N16" s="316"/>
      <c r="O16" s="58"/>
      <c r="P16" s="58"/>
      <c r="Q16" s="128"/>
      <c r="R16" s="58"/>
      <c r="S16" s="58"/>
      <c r="T16" s="58"/>
      <c r="U16" s="56"/>
      <c r="V16" s="56"/>
      <c r="W16" s="56"/>
      <c r="X16" s="56"/>
      <c r="Y16" s="56"/>
      <c r="Z16" s="240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240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</row>
    <row r="17" spans="1:50" s="11" customFormat="1">
      <c r="A17" s="65"/>
      <c r="B17" s="58"/>
      <c r="C17" s="58"/>
      <c r="D17" s="58"/>
      <c r="E17" s="58"/>
      <c r="F17" s="58"/>
      <c r="G17" s="58"/>
      <c r="H17" s="217"/>
      <c r="I17" s="59"/>
      <c r="J17" s="59"/>
      <c r="K17" s="59"/>
      <c r="L17" s="59"/>
      <c r="M17" s="59"/>
      <c r="N17" s="59"/>
      <c r="O17" s="137"/>
      <c r="P17" s="137"/>
      <c r="Q17" s="137"/>
      <c r="R17" s="58"/>
      <c r="S17" s="58"/>
      <c r="T17" s="58"/>
      <c r="U17" s="56"/>
      <c r="V17" s="56"/>
      <c r="W17" s="56"/>
      <c r="X17" s="56"/>
      <c r="Y17" s="56"/>
      <c r="Z17" s="240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240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</row>
    <row r="18" spans="1:50" s="11" customFormat="1">
      <c r="A18" s="65"/>
      <c r="B18" s="58"/>
      <c r="C18" s="58"/>
      <c r="D18" s="58"/>
      <c r="E18" s="58"/>
      <c r="F18" s="58"/>
      <c r="G18" s="58"/>
      <c r="H18" s="217"/>
      <c r="I18" s="45" t="s">
        <v>615</v>
      </c>
      <c r="J18" s="46">
        <f>O15</f>
        <v>2026</v>
      </c>
      <c r="K18" s="46">
        <v>2027</v>
      </c>
      <c r="L18" s="46">
        <v>2028</v>
      </c>
      <c r="M18" s="46">
        <v>2029</v>
      </c>
      <c r="N18" s="46">
        <v>2030</v>
      </c>
      <c r="O18" s="137"/>
      <c r="P18" s="137"/>
      <c r="Q18" s="137"/>
      <c r="R18" s="58"/>
      <c r="S18" s="58"/>
      <c r="T18" s="58"/>
      <c r="U18" s="56"/>
      <c r="V18" s="56"/>
      <c r="W18" s="56"/>
      <c r="X18" s="56"/>
      <c r="Y18" s="56"/>
      <c r="Z18" s="240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240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</row>
    <row r="19" spans="1:50" s="11" customFormat="1" ht="16">
      <c r="A19" s="65"/>
      <c r="B19" s="44" t="s">
        <v>536</v>
      </c>
      <c r="C19" s="44">
        <f>O19</f>
        <v>30</v>
      </c>
      <c r="D19" s="44">
        <f>C22</f>
        <v>78</v>
      </c>
      <c r="E19" s="44">
        <f t="shared" ref="E19" si="78">D22</f>
        <v>81</v>
      </c>
      <c r="F19" s="44">
        <f>E22</f>
        <v>81</v>
      </c>
      <c r="G19" s="44"/>
      <c r="H19" s="217"/>
      <c r="I19" s="47" t="s">
        <v>527</v>
      </c>
      <c r="J19" s="48" t="s">
        <v>530</v>
      </c>
      <c r="K19" s="48" t="s">
        <v>530</v>
      </c>
      <c r="L19" s="48" t="s">
        <v>530</v>
      </c>
      <c r="M19" s="48" t="s">
        <v>530</v>
      </c>
      <c r="N19" s="48" t="s">
        <v>530</v>
      </c>
      <c r="O19" s="453">
        <v>30</v>
      </c>
      <c r="P19" s="454">
        <f>O22</f>
        <v>34</v>
      </c>
      <c r="Q19" s="454">
        <f>P22</f>
        <v>38</v>
      </c>
      <c r="R19" s="454">
        <f t="shared" ref="R19:Y19" si="79">Q22</f>
        <v>42</v>
      </c>
      <c r="S19" s="454">
        <f t="shared" si="79"/>
        <v>46</v>
      </c>
      <c r="T19" s="454">
        <f t="shared" si="79"/>
        <v>50</v>
      </c>
      <c r="U19" s="454">
        <f t="shared" si="79"/>
        <v>54</v>
      </c>
      <c r="V19" s="454">
        <f>U22</f>
        <v>58</v>
      </c>
      <c r="W19" s="454">
        <f t="shared" si="79"/>
        <v>62</v>
      </c>
      <c r="X19" s="454">
        <f t="shared" si="79"/>
        <v>66</v>
      </c>
      <c r="Y19" s="454">
        <f t="shared" si="79"/>
        <v>70</v>
      </c>
      <c r="Z19" s="454">
        <f>Y22</f>
        <v>74</v>
      </c>
      <c r="AA19" s="454">
        <f t="shared" ref="AA19:AB19" si="80">Z22</f>
        <v>78</v>
      </c>
      <c r="AB19" s="454">
        <f t="shared" si="80"/>
        <v>81</v>
      </c>
      <c r="AC19" s="454">
        <f>AB22</f>
        <v>84</v>
      </c>
      <c r="AD19" s="454">
        <f t="shared" ref="AD19:AJ19" si="81">AC22</f>
        <v>87</v>
      </c>
      <c r="AE19" s="454">
        <f t="shared" si="81"/>
        <v>90</v>
      </c>
      <c r="AF19" s="454">
        <f t="shared" si="81"/>
        <v>92</v>
      </c>
      <c r="AG19" s="454">
        <f t="shared" si="81"/>
        <v>94</v>
      </c>
      <c r="AH19" s="454">
        <f t="shared" si="81"/>
        <v>96</v>
      </c>
      <c r="AI19" s="454">
        <f t="shared" si="81"/>
        <v>98</v>
      </c>
      <c r="AJ19" s="454">
        <f t="shared" si="81"/>
        <v>100</v>
      </c>
      <c r="AK19" s="454">
        <f t="shared" ref="AK19:AL19" si="82">AJ22</f>
        <v>102</v>
      </c>
      <c r="AL19" s="454">
        <f t="shared" si="82"/>
        <v>104</v>
      </c>
      <c r="AM19" s="454">
        <f t="shared" ref="AM19:AV19" si="83">AL22</f>
        <v>106</v>
      </c>
      <c r="AN19" s="454">
        <f t="shared" si="83"/>
        <v>109</v>
      </c>
      <c r="AO19" s="454">
        <f t="shared" si="83"/>
        <v>112</v>
      </c>
      <c r="AP19" s="454">
        <f t="shared" si="83"/>
        <v>115</v>
      </c>
      <c r="AQ19" s="454">
        <f t="shared" si="83"/>
        <v>118</v>
      </c>
      <c r="AR19" s="454">
        <f t="shared" si="83"/>
        <v>121</v>
      </c>
      <c r="AS19" s="454">
        <f t="shared" si="83"/>
        <v>124</v>
      </c>
      <c r="AT19" s="454">
        <f t="shared" si="83"/>
        <v>127</v>
      </c>
      <c r="AU19" s="454">
        <f t="shared" si="83"/>
        <v>130</v>
      </c>
      <c r="AV19" s="454">
        <f t="shared" si="83"/>
        <v>133</v>
      </c>
      <c r="AW19" s="454">
        <f t="shared" ref="AW19:AX19" si="84">AV22</f>
        <v>136</v>
      </c>
      <c r="AX19" s="454">
        <f t="shared" si="84"/>
        <v>139</v>
      </c>
    </row>
    <row r="20" spans="1:50" s="11" customFormat="1" ht="16">
      <c r="A20" s="65"/>
      <c r="B20" s="44" t="s">
        <v>537</v>
      </c>
      <c r="C20" s="44">
        <f>SUMIF(O15:Z15,C$15,O20:Z20)</f>
        <v>60</v>
      </c>
      <c r="D20" s="44">
        <f>SUMIF(P15:AA15,D$15,P20:AA20)</f>
        <v>4</v>
      </c>
      <c r="E20" s="44">
        <f t="shared" ref="E20:F20" si="85">SUMIF(Q15:AB15,E$15,Q20:AB20)</f>
        <v>0</v>
      </c>
      <c r="F20" s="44">
        <f t="shared" si="85"/>
        <v>0</v>
      </c>
      <c r="G20" s="44"/>
      <c r="H20" s="217"/>
      <c r="I20" s="47" t="s">
        <v>528</v>
      </c>
      <c r="J20" s="49">
        <v>5</v>
      </c>
      <c r="K20" s="49">
        <v>4</v>
      </c>
      <c r="L20" s="49">
        <v>5</v>
      </c>
      <c r="M20" s="49">
        <v>10</v>
      </c>
      <c r="N20" s="49">
        <v>11</v>
      </c>
      <c r="O20" s="454">
        <f>IF(OR(AND(HLOOKUP(O$15,$J$18:$N$21,2,1)="Quarterly",MOD(Assumptions!$C$11,3)=0),AND(HLOOKUP(O$15,$J$18:$N$21,2,1)="Annually",MOD(Assumptions!$C$11,12)=0),HLOOKUP(O$15,$J$18:$N$21,2,1)="Monthly"),HLOOKUP(O$15,$J$18:$N$21,3,1),0)</f>
        <v>5</v>
      </c>
      <c r="P20" s="454">
        <f>IF(OR(AND(HLOOKUP(P$15,$J$18:$N$21,2,1)="Quarterly",MOD(Assumptions!$C$11,3)=0),AND(HLOOKUP(P$15,$J$18:$N$21,2,1)="Annually",MOD(Assumptions!$C$11,12)=0),HLOOKUP(P$15,$J$18:$N$21,2,1)="Monthly"),HLOOKUP(P$15,$J$18:$N$21,3,1),0)</f>
        <v>5</v>
      </c>
      <c r="Q20" s="454">
        <f>IF(OR(AND(HLOOKUP(Q$15,$J$18:$N$21,2,1)="Quarterly",MOD(Assumptions!$C$11,3)=0),AND(HLOOKUP(Q$15,$J$18:$N$21,2,1)="Annually",MOD(Assumptions!$C$11,12)=0),HLOOKUP(Q$15,$J$18:$N$21,2,1)="Monthly"),HLOOKUP(Q$15,$J$18:$N$21,3,1),0)</f>
        <v>5</v>
      </c>
      <c r="R20" s="454">
        <f>IF(OR(AND(HLOOKUP(R$15,$J$18:$N$21,2,1)="Quarterly",MOD(Assumptions!$C$11,3)=0),AND(HLOOKUP(R$15,$J$18:$N$21,2,1)="Annually",MOD(Assumptions!$C$11,12)=0),HLOOKUP(R$15,$J$18:$N$21,2,1)="Monthly"),HLOOKUP(R$15,$J$18:$N$21,3,1),0)</f>
        <v>5</v>
      </c>
      <c r="S20" s="454">
        <f>IF(OR(AND(HLOOKUP(S$15,$J$18:$N$21,2,1)="Quarterly",MOD(Assumptions!$C$11,3)=0),AND(HLOOKUP(S$15,$J$18:$N$21,2,1)="Annually",MOD(Assumptions!$C$11,12)=0),HLOOKUP(S$15,$J$18:$N$21,2,1)="Monthly"),HLOOKUP(S$15,$J$18:$N$21,3,1),0)</f>
        <v>5</v>
      </c>
      <c r="T20" s="454">
        <f>IF(OR(AND(HLOOKUP(T$15,$J$18:$N$21,2,1)="Quarterly",MOD(Assumptions!$C$11,3)=0),AND(HLOOKUP(T$15,$J$18:$N$21,2,1)="Annually",MOD(Assumptions!$C$11,12)=0),HLOOKUP(T$15,$J$18:$N$21,2,1)="Monthly"),HLOOKUP(T$15,$J$18:$N$21,3,1),0)</f>
        <v>5</v>
      </c>
      <c r="U20" s="454">
        <f>IF(OR(AND(HLOOKUP(U$15,$J$18:$N$21,2,1)="Quarterly",MOD(Assumptions!$C$11,3)=0),AND(HLOOKUP(U$15,$J$18:$N$21,2,1)="Annually",MOD(Assumptions!$C$11,12)=0),HLOOKUP(U$15,$J$18:$N$21,2,1)="Monthly"),HLOOKUP(U$15,$J$18:$N$21,3,1),0)</f>
        <v>5</v>
      </c>
      <c r="V20" s="454">
        <f>IF(OR(AND(HLOOKUP(V$15,$J$18:$N$21,2,1)="Quarterly",MOD(Assumptions!$C$11,3)=0),AND(HLOOKUP(V$15,$J$18:$N$21,2,1)="Annually",MOD(Assumptions!$C$11,12)=0),HLOOKUP(V$15,$J$18:$N$21,2,1)="Monthly"),HLOOKUP(V$15,$J$18:$N$21,3,1),0)</f>
        <v>5</v>
      </c>
      <c r="W20" s="454">
        <f>IF(OR(AND(HLOOKUP(W$15,$J$18:$N$21,2,1)="Quarterly",MOD(Assumptions!$C$11,3)=0),AND(HLOOKUP(W$15,$J$18:$N$21,2,1)="Annually",MOD(Assumptions!$C$11,12)=0),HLOOKUP(W$15,$J$18:$N$21,2,1)="Monthly"),HLOOKUP(W$15,$J$18:$N$21,3,1),0)</f>
        <v>5</v>
      </c>
      <c r="X20" s="454">
        <f>IF(OR(AND(HLOOKUP(X$15,$J$18:$N$21,2,1)="Quarterly",MOD(Assumptions!$C$11,3)=0),AND(HLOOKUP(X$15,$J$18:$N$21,2,1)="Annually",MOD(Assumptions!$C$11,12)=0),HLOOKUP(X$15,$J$18:$N$21,2,1)="Monthly"),HLOOKUP(X$15,$J$18:$N$21,3,1),0)</f>
        <v>5</v>
      </c>
      <c r="Y20" s="454">
        <f>IF(OR(AND(HLOOKUP(Y$15,$J$18:$N$21,2,1)="Quarterly",MOD(Assumptions!$C$11,3)=0),AND(HLOOKUP(Y$15,$J$18:$N$21,2,1)="Annually",MOD(Assumptions!$C$11,12)=0),HLOOKUP(Y$15,$J$18:$N$21,2,1)="Monthly"),HLOOKUP(Y$15,$J$18:$N$21,3,1),0)</f>
        <v>5</v>
      </c>
      <c r="Z20" s="454">
        <f>IF(OR(AND(HLOOKUP(Z$15,$J$18:$N$21,2,1)="Quarterly",MOD(Assumptions!$C$11,3)=0),AND(HLOOKUP(Z$15,$J$18:$N$21,2,1)="Annually",MOD(Assumptions!$C$11,12)=0),HLOOKUP(Z$15,$J$18:$N$21,2,1)="Monthly"),HLOOKUP(Z$15,$J$18:$N$21,3,1),0)</f>
        <v>5</v>
      </c>
      <c r="AA20" s="454">
        <f>IF(OR(AND(HLOOKUP(AA$15,$J$18:$N$21,2,1)="Quarterly",MOD(Assumptions!$C$11,3)=0),AND(HLOOKUP(AA$15,$J$18:$N$21,2,1)="Annually",MOD(Assumptions!$C$11,12)=0),HLOOKUP(AA$15,$J$18:$N$21,2,1)="Monthly"),HLOOKUP(AA$15,$J$18:$N$21,3,1),0)</f>
        <v>4</v>
      </c>
      <c r="AB20" s="454">
        <f>IF(OR(AND(HLOOKUP(AB$15,$J$18:$N$21,2,1)="Quarterly",MOD(Assumptions!$C$11,3)=0),AND(HLOOKUP(AB$15,$J$18:$N$21,2,1)="Annually",MOD(Assumptions!$C$11,12)=0),HLOOKUP(AB$15,$J$18:$N$21,2,1)="Monthly"),HLOOKUP(AB$15,$J$18:$N$21,3,1),0)</f>
        <v>4</v>
      </c>
      <c r="AC20" s="454">
        <f>IF(OR(AND(HLOOKUP(AC$15,$J$18:$N$21,2,1)="Quarterly",MOD(Assumptions!$C$11,3)=0),AND(HLOOKUP(AC$15,$J$18:$N$21,2,1)="Annually",MOD(Assumptions!$C$11,12)=0),HLOOKUP(AC$15,$J$18:$N$21,2,1)="Monthly"),HLOOKUP(AC$15,$J$18:$N$21,3,1),0)</f>
        <v>4</v>
      </c>
      <c r="AD20" s="454">
        <f>IF(OR(AND(HLOOKUP(AD$15,$J$18:$N$21,2,1)="Quarterly",MOD(Assumptions!$C$11,3)=0),AND(HLOOKUP(AD$15,$J$18:$N$21,2,1)="Annually",MOD(Assumptions!$C$11,12)=0),HLOOKUP(AD$15,$J$18:$N$21,2,1)="Monthly"),HLOOKUP(AD$15,$J$18:$N$21,3,1),0)</f>
        <v>4</v>
      </c>
      <c r="AE20" s="454">
        <f>IF(OR(AND(HLOOKUP(AE$15,$J$18:$N$21,2,1)="Quarterly",MOD(Assumptions!$C$11,3)=0),AND(HLOOKUP(AE$15,$J$18:$N$21,2,1)="Annually",MOD(Assumptions!$C$11,12)=0),HLOOKUP(AE$15,$J$18:$N$21,2,1)="Monthly"),HLOOKUP(AE$15,$J$18:$N$21,3,1),0)</f>
        <v>4</v>
      </c>
      <c r="AF20" s="454">
        <f>IF(OR(AND(HLOOKUP(AF$15,$J$18:$N$21,2,1)="Quarterly",MOD(Assumptions!$C$11,3)=0),AND(HLOOKUP(AF$15,$J$18:$N$21,2,1)="Annually",MOD(Assumptions!$C$11,12)=0),HLOOKUP(AF$15,$J$18:$N$21,2,1)="Monthly"),HLOOKUP(AF$15,$J$18:$N$21,3,1),0)</f>
        <v>4</v>
      </c>
      <c r="AG20" s="454">
        <f>IF(OR(AND(HLOOKUP(AG$15,$J$18:$N$21,2,1)="Quarterly",MOD(Assumptions!$C$11,3)=0),AND(HLOOKUP(AG$15,$J$18:$N$21,2,1)="Annually",MOD(Assumptions!$C$11,12)=0),HLOOKUP(AG$15,$J$18:$N$21,2,1)="Monthly"),HLOOKUP(AG$15,$J$18:$N$21,3,1),0)</f>
        <v>4</v>
      </c>
      <c r="AH20" s="454">
        <f>IF(OR(AND(HLOOKUP(AH$15,$J$18:$N$21,2,1)="Quarterly",MOD(Assumptions!$C$11,3)=0),AND(HLOOKUP(AH$15,$J$18:$N$21,2,1)="Annually",MOD(Assumptions!$C$11,12)=0),HLOOKUP(AH$15,$J$18:$N$21,2,1)="Monthly"),HLOOKUP(AH$15,$J$18:$N$21,3,1),0)</f>
        <v>4</v>
      </c>
      <c r="AI20" s="454">
        <f>IF(OR(AND(HLOOKUP(AI$15,$J$18:$N$21,2,1)="Quarterly",MOD(Assumptions!$C$11,3)=0),AND(HLOOKUP(AI$15,$J$18:$N$21,2,1)="Annually",MOD(Assumptions!$C$11,12)=0),HLOOKUP(AI$15,$J$18:$N$21,2,1)="Monthly"),HLOOKUP(AI$15,$J$18:$N$21,3,1),0)</f>
        <v>4</v>
      </c>
      <c r="AJ20" s="454">
        <f>IF(OR(AND(HLOOKUP(AJ$15,$J$18:$N$21,2,1)="Quarterly",MOD(Assumptions!$C$11,3)=0),AND(HLOOKUP(AJ$15,$J$18:$N$21,2,1)="Annually",MOD(Assumptions!$C$11,12)=0),HLOOKUP(AJ$15,$J$18:$N$21,2,1)="Monthly"),HLOOKUP(AJ$15,$J$18:$N$21,3,1),0)</f>
        <v>4</v>
      </c>
      <c r="AK20" s="454">
        <f>IF(OR(AND(HLOOKUP(AK$15,$J$18:$N$21,2,1)="Quarterly",MOD(Assumptions!$C$11,3)=0),AND(HLOOKUP(AK$15,$J$18:$N$21,2,1)="Annually",MOD(Assumptions!$C$11,12)=0),HLOOKUP(AK$15,$J$18:$N$21,2,1)="Monthly"),HLOOKUP(AK$15,$J$18:$N$21,3,1),0)</f>
        <v>4</v>
      </c>
      <c r="AL20" s="454">
        <f>IF(OR(AND(HLOOKUP(AL$15,$J$18:$N$21,2,1)="Quarterly",MOD(Assumptions!$C$11,3)=0),AND(HLOOKUP(AL$15,$J$18:$N$21,2,1)="Annually",MOD(Assumptions!$C$11,12)=0),HLOOKUP(AL$15,$J$18:$N$21,2,1)="Monthly"),HLOOKUP(AL$15,$J$18:$N$21,3,1),0)</f>
        <v>4</v>
      </c>
      <c r="AM20" s="454">
        <f>IF(OR(AND(HLOOKUP(AM$15,$J$18:$N$21,2,1)="Quarterly",MOD(Assumptions!$C$11,3)=0),AND(HLOOKUP(AM$15,$J$18:$N$21,2,1)="Annually",MOD(Assumptions!$C$11,12)=0),HLOOKUP(AM$15,$J$18:$N$21,2,1)="Monthly"),HLOOKUP(AM$15,$J$18:$N$21,3,1),0)</f>
        <v>5</v>
      </c>
      <c r="AN20" s="454">
        <f>IF(OR(AND(HLOOKUP(AN$15,$J$18:$N$21,2,1)="Quarterly",MOD(Assumptions!$C$11,3)=0),AND(HLOOKUP(AN$15,$J$18:$N$21,2,1)="Annually",MOD(Assumptions!$C$11,12)=0),HLOOKUP(AN$15,$J$18:$N$21,2,1)="Monthly"),HLOOKUP(AN$15,$J$18:$N$21,3,1),0)</f>
        <v>5</v>
      </c>
      <c r="AO20" s="454">
        <f>IF(OR(AND(HLOOKUP(AO$15,$J$18:$N$21,2,1)="Quarterly",MOD(Assumptions!$C$11,3)=0),AND(HLOOKUP(AO$15,$J$18:$N$21,2,1)="Annually",MOD(Assumptions!$C$11,12)=0),HLOOKUP(AO$15,$J$18:$N$21,2,1)="Monthly"),HLOOKUP(AO$15,$J$18:$N$21,3,1),0)</f>
        <v>5</v>
      </c>
      <c r="AP20" s="454">
        <f>IF(OR(AND(HLOOKUP(AP$15,$J$18:$N$21,2,1)="Quarterly",MOD(Assumptions!$C$11,3)=0),AND(HLOOKUP(AP$15,$J$18:$N$21,2,1)="Annually",MOD(Assumptions!$C$11,12)=0),HLOOKUP(AP$15,$J$18:$N$21,2,1)="Monthly"),HLOOKUP(AP$15,$J$18:$N$21,3,1),0)</f>
        <v>5</v>
      </c>
      <c r="AQ20" s="454">
        <f>IF(OR(AND(HLOOKUP(AQ$15,$J$18:$N$21,2,1)="Quarterly",MOD(Assumptions!$C$11,3)=0),AND(HLOOKUP(AQ$15,$J$18:$N$21,2,1)="Annually",MOD(Assumptions!$C$11,12)=0),HLOOKUP(AQ$15,$J$18:$N$21,2,1)="Monthly"),HLOOKUP(AQ$15,$J$18:$N$21,3,1),0)</f>
        <v>5</v>
      </c>
      <c r="AR20" s="454">
        <f>IF(OR(AND(HLOOKUP(AR$15,$J$18:$N$21,2,1)="Quarterly",MOD(Assumptions!$C$11,3)=0),AND(HLOOKUP(AR$15,$J$18:$N$21,2,1)="Annually",MOD(Assumptions!$C$11,12)=0),HLOOKUP(AR$15,$J$18:$N$21,2,1)="Monthly"),HLOOKUP(AR$15,$J$18:$N$21,3,1),0)</f>
        <v>5</v>
      </c>
      <c r="AS20" s="454">
        <f>IF(OR(AND(HLOOKUP(AS$15,$J$18:$N$21,2,1)="Quarterly",MOD(Assumptions!$C$11,3)=0),AND(HLOOKUP(AS$15,$J$18:$N$21,2,1)="Annually",MOD(Assumptions!$C$11,12)=0),HLOOKUP(AS$15,$J$18:$N$21,2,1)="Monthly"),HLOOKUP(AS$15,$J$18:$N$21,3,1),0)</f>
        <v>5</v>
      </c>
      <c r="AT20" s="454">
        <f>IF(OR(AND(HLOOKUP(AT$15,$J$18:$N$21,2,1)="Quarterly",MOD(Assumptions!$C$11,3)=0),AND(HLOOKUP(AT$15,$J$18:$N$21,2,1)="Annually",MOD(Assumptions!$C$11,12)=0),HLOOKUP(AT$15,$J$18:$N$21,2,1)="Monthly"),HLOOKUP(AT$15,$J$18:$N$21,3,1),0)</f>
        <v>5</v>
      </c>
      <c r="AU20" s="454">
        <f>IF(OR(AND(HLOOKUP(AU$15,$J$18:$N$21,2,1)="Quarterly",MOD(Assumptions!$C$11,3)=0),AND(HLOOKUP(AU$15,$J$18:$N$21,2,1)="Annually",MOD(Assumptions!$C$11,12)=0),HLOOKUP(AU$15,$J$18:$N$21,2,1)="Monthly"),HLOOKUP(AU$15,$J$18:$N$21,3,1),0)</f>
        <v>5</v>
      </c>
      <c r="AV20" s="454">
        <f>IF(OR(AND(HLOOKUP(AV$15,$J$18:$N$21,2,1)="Quarterly",MOD(Assumptions!$C$11,3)=0),AND(HLOOKUP(AV$15,$J$18:$N$21,2,1)="Annually",MOD(Assumptions!$C$11,12)=0),HLOOKUP(AV$15,$J$18:$N$21,2,1)="Monthly"),HLOOKUP(AV$15,$J$18:$N$21,3,1),0)</f>
        <v>5</v>
      </c>
      <c r="AW20" s="454">
        <f>IF(OR(AND(HLOOKUP(AW$15,$J$18:$N$21,2,1)="Quarterly",MOD(Assumptions!$C$11,3)=0),AND(HLOOKUP(AW$15,$J$18:$N$21,2,1)="Annually",MOD(Assumptions!$C$11,12)=0),HLOOKUP(AW$15,$J$18:$N$21,2,1)="Monthly"),HLOOKUP(AW$15,$J$18:$N$21,3,1),0)</f>
        <v>5</v>
      </c>
      <c r="AX20" s="454">
        <f>IF(OR(AND(HLOOKUP(AX$15,$J$18:$N$21,2,1)="Quarterly",MOD(Assumptions!$C$11,3)=0),AND(HLOOKUP(AX$15,$J$18:$N$21,2,1)="Annually",MOD(Assumptions!$C$11,12)=0),HLOOKUP(AX$15,$J$18:$N$21,2,1)="Monthly"),HLOOKUP(AX$15,$J$18:$N$21,3,1),0)</f>
        <v>5</v>
      </c>
    </row>
    <row r="21" spans="1:50" s="11" customFormat="1" ht="16">
      <c r="A21" s="65"/>
      <c r="B21" s="44" t="s">
        <v>538</v>
      </c>
      <c r="C21" s="44">
        <f>SUMIF(O15:Z15,C$15,O21:Z21)</f>
        <v>-12</v>
      </c>
      <c r="D21" s="44">
        <f>SUMIF(P15:AA15,D$15,P21:AA21)</f>
        <v>-1</v>
      </c>
      <c r="E21" s="44">
        <f t="shared" ref="E21:F21" si="86">SUMIF(Q15:AB15,E$15,Q21:AB21)</f>
        <v>0</v>
      </c>
      <c r="F21" s="44">
        <f t="shared" si="86"/>
        <v>0</v>
      </c>
      <c r="G21" s="44"/>
      <c r="H21" s="217"/>
      <c r="I21" s="47" t="s">
        <v>529</v>
      </c>
      <c r="J21" s="50">
        <v>0.2</v>
      </c>
      <c r="K21" s="50">
        <v>0.2</v>
      </c>
      <c r="L21" s="50">
        <v>0.2</v>
      </c>
      <c r="M21" s="50">
        <v>0.2</v>
      </c>
      <c r="N21" s="50">
        <v>0.2</v>
      </c>
      <c r="O21" s="454">
        <f>-ROUND(O19*HLOOKUP(O$15,$J$18:$N$21,4,1)/12,0)</f>
        <v>-1</v>
      </c>
      <c r="P21" s="454">
        <f t="shared" ref="P21:AX21" si="87">-ROUND(P19*HLOOKUP(P$15,$J$18:$N$21,4,1)/12,0)</f>
        <v>-1</v>
      </c>
      <c r="Q21" s="454">
        <f t="shared" si="87"/>
        <v>-1</v>
      </c>
      <c r="R21" s="454">
        <f t="shared" si="87"/>
        <v>-1</v>
      </c>
      <c r="S21" s="454">
        <f t="shared" si="87"/>
        <v>-1</v>
      </c>
      <c r="T21" s="454">
        <f t="shared" si="87"/>
        <v>-1</v>
      </c>
      <c r="U21" s="454">
        <f t="shared" si="87"/>
        <v>-1</v>
      </c>
      <c r="V21" s="454">
        <f t="shared" si="87"/>
        <v>-1</v>
      </c>
      <c r="W21" s="454">
        <f t="shared" si="87"/>
        <v>-1</v>
      </c>
      <c r="X21" s="454">
        <f t="shared" si="87"/>
        <v>-1</v>
      </c>
      <c r="Y21" s="454">
        <f t="shared" si="87"/>
        <v>-1</v>
      </c>
      <c r="Z21" s="454">
        <f t="shared" si="87"/>
        <v>-1</v>
      </c>
      <c r="AA21" s="454">
        <f t="shared" si="87"/>
        <v>-1</v>
      </c>
      <c r="AB21" s="454">
        <f t="shared" si="87"/>
        <v>-1</v>
      </c>
      <c r="AC21" s="454">
        <f t="shared" si="87"/>
        <v>-1</v>
      </c>
      <c r="AD21" s="454">
        <f t="shared" si="87"/>
        <v>-1</v>
      </c>
      <c r="AE21" s="454">
        <f t="shared" si="87"/>
        <v>-2</v>
      </c>
      <c r="AF21" s="454">
        <f t="shared" si="87"/>
        <v>-2</v>
      </c>
      <c r="AG21" s="454">
        <f t="shared" si="87"/>
        <v>-2</v>
      </c>
      <c r="AH21" s="454">
        <f t="shared" si="87"/>
        <v>-2</v>
      </c>
      <c r="AI21" s="454">
        <f t="shared" si="87"/>
        <v>-2</v>
      </c>
      <c r="AJ21" s="454">
        <f t="shared" si="87"/>
        <v>-2</v>
      </c>
      <c r="AK21" s="454">
        <f t="shared" si="87"/>
        <v>-2</v>
      </c>
      <c r="AL21" s="454">
        <f t="shared" si="87"/>
        <v>-2</v>
      </c>
      <c r="AM21" s="454">
        <f t="shared" si="87"/>
        <v>-2</v>
      </c>
      <c r="AN21" s="454">
        <f t="shared" si="87"/>
        <v>-2</v>
      </c>
      <c r="AO21" s="454">
        <f t="shared" si="87"/>
        <v>-2</v>
      </c>
      <c r="AP21" s="454">
        <f t="shared" si="87"/>
        <v>-2</v>
      </c>
      <c r="AQ21" s="454">
        <f t="shared" si="87"/>
        <v>-2</v>
      </c>
      <c r="AR21" s="454">
        <f t="shared" si="87"/>
        <v>-2</v>
      </c>
      <c r="AS21" s="454">
        <f t="shared" si="87"/>
        <v>-2</v>
      </c>
      <c r="AT21" s="454">
        <f t="shared" si="87"/>
        <v>-2</v>
      </c>
      <c r="AU21" s="454">
        <f t="shared" si="87"/>
        <v>-2</v>
      </c>
      <c r="AV21" s="454">
        <f t="shared" si="87"/>
        <v>-2</v>
      </c>
      <c r="AW21" s="454">
        <f t="shared" si="87"/>
        <v>-2</v>
      </c>
      <c r="AX21" s="454">
        <f t="shared" si="87"/>
        <v>-2</v>
      </c>
    </row>
    <row r="22" spans="1:50" s="11" customFormat="1" ht="16">
      <c r="A22" s="65"/>
      <c r="B22" s="44" t="s">
        <v>539</v>
      </c>
      <c r="C22" s="229">
        <f>SUM(C19:C21)</f>
        <v>78</v>
      </c>
      <c r="D22" s="229">
        <f t="shared" ref="D22:F22" si="88">SUM(D19:D21)</f>
        <v>81</v>
      </c>
      <c r="E22" s="229">
        <f t="shared" si="88"/>
        <v>81</v>
      </c>
      <c r="F22" s="229">
        <f t="shared" si="88"/>
        <v>81</v>
      </c>
      <c r="G22" s="44"/>
      <c r="H22" s="217"/>
      <c r="I22" s="51"/>
      <c r="J22" s="52"/>
      <c r="K22" s="52"/>
      <c r="L22" s="52"/>
      <c r="M22" s="52"/>
      <c r="N22" s="59"/>
      <c r="O22" s="455">
        <f>SUM(O19:O21)</f>
        <v>34</v>
      </c>
      <c r="P22" s="455">
        <f t="shared" ref="P22:Z22" si="89">SUM(P19:P21)</f>
        <v>38</v>
      </c>
      <c r="Q22" s="455">
        <f t="shared" si="89"/>
        <v>42</v>
      </c>
      <c r="R22" s="455">
        <f t="shared" si="89"/>
        <v>46</v>
      </c>
      <c r="S22" s="455">
        <f t="shared" si="89"/>
        <v>50</v>
      </c>
      <c r="T22" s="455">
        <f t="shared" si="89"/>
        <v>54</v>
      </c>
      <c r="U22" s="455">
        <f t="shared" si="89"/>
        <v>58</v>
      </c>
      <c r="V22" s="455">
        <f t="shared" si="89"/>
        <v>62</v>
      </c>
      <c r="W22" s="455">
        <f t="shared" si="89"/>
        <v>66</v>
      </c>
      <c r="X22" s="455">
        <f t="shared" si="89"/>
        <v>70</v>
      </c>
      <c r="Y22" s="455">
        <f t="shared" si="89"/>
        <v>74</v>
      </c>
      <c r="Z22" s="455">
        <f t="shared" si="89"/>
        <v>78</v>
      </c>
      <c r="AA22" s="455">
        <f t="shared" ref="AA22:AC22" si="90">SUM(AA19:AA21)</f>
        <v>81</v>
      </c>
      <c r="AB22" s="455">
        <f t="shared" si="90"/>
        <v>84</v>
      </c>
      <c r="AC22" s="455">
        <f t="shared" si="90"/>
        <v>87</v>
      </c>
      <c r="AD22" s="455">
        <f t="shared" ref="AD22:AJ22" si="91">SUM(AD19:AD21)</f>
        <v>90</v>
      </c>
      <c r="AE22" s="455">
        <f t="shared" si="91"/>
        <v>92</v>
      </c>
      <c r="AF22" s="455">
        <f t="shared" si="91"/>
        <v>94</v>
      </c>
      <c r="AG22" s="455">
        <f t="shared" si="91"/>
        <v>96</v>
      </c>
      <c r="AH22" s="455">
        <f t="shared" si="91"/>
        <v>98</v>
      </c>
      <c r="AI22" s="455">
        <f t="shared" si="91"/>
        <v>100</v>
      </c>
      <c r="AJ22" s="455">
        <f t="shared" si="91"/>
        <v>102</v>
      </c>
      <c r="AK22" s="455">
        <f t="shared" ref="AK22:AL22" si="92">SUM(AK19:AK21)</f>
        <v>104</v>
      </c>
      <c r="AL22" s="455">
        <f t="shared" si="92"/>
        <v>106</v>
      </c>
      <c r="AM22" s="455">
        <f t="shared" ref="AM22:AV22" si="93">SUM(AM19:AM21)</f>
        <v>109</v>
      </c>
      <c r="AN22" s="455">
        <f t="shared" si="93"/>
        <v>112</v>
      </c>
      <c r="AO22" s="455">
        <f t="shared" si="93"/>
        <v>115</v>
      </c>
      <c r="AP22" s="455">
        <f t="shared" si="93"/>
        <v>118</v>
      </c>
      <c r="AQ22" s="455">
        <f t="shared" si="93"/>
        <v>121</v>
      </c>
      <c r="AR22" s="455">
        <f t="shared" si="93"/>
        <v>124</v>
      </c>
      <c r="AS22" s="455">
        <f t="shared" si="93"/>
        <v>127</v>
      </c>
      <c r="AT22" s="455">
        <f t="shared" si="93"/>
        <v>130</v>
      </c>
      <c r="AU22" s="455">
        <f t="shared" si="93"/>
        <v>133</v>
      </c>
      <c r="AV22" s="455">
        <f t="shared" si="93"/>
        <v>136</v>
      </c>
      <c r="AW22" s="455">
        <f t="shared" ref="AW22:AX22" si="94">SUM(AW19:AW21)</f>
        <v>139</v>
      </c>
      <c r="AX22" s="455">
        <f t="shared" si="94"/>
        <v>142</v>
      </c>
    </row>
    <row r="23" spans="1:50" s="11" customFormat="1">
      <c r="A23" s="65"/>
      <c r="B23" s="58"/>
      <c r="C23" s="58"/>
      <c r="D23" s="58"/>
      <c r="E23" s="58"/>
      <c r="F23" s="58"/>
      <c r="G23" s="58"/>
      <c r="H23" s="217"/>
      <c r="I23" s="51"/>
      <c r="J23" s="52"/>
      <c r="K23" s="52"/>
      <c r="L23" s="52"/>
      <c r="M23" s="52"/>
      <c r="N23" s="59"/>
      <c r="O23" s="137"/>
      <c r="P23" s="137"/>
      <c r="Q23" s="137"/>
      <c r="R23" s="58"/>
      <c r="S23" s="58"/>
      <c r="T23" s="58"/>
      <c r="U23" s="56"/>
      <c r="V23" s="56"/>
      <c r="W23" s="56"/>
      <c r="X23" s="56"/>
      <c r="Y23" s="56"/>
      <c r="Z23" s="240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240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</row>
    <row r="24" spans="1:50" s="11" customFormat="1" ht="16">
      <c r="A24" s="65"/>
      <c r="B24" s="44"/>
      <c r="C24" s="54"/>
      <c r="D24" s="54"/>
      <c r="E24" s="54"/>
      <c r="F24" s="54"/>
      <c r="G24" s="44"/>
      <c r="H24" s="217"/>
      <c r="I24" s="212" t="s">
        <v>551</v>
      </c>
      <c r="J24" s="49">
        <v>120000</v>
      </c>
      <c r="K24" s="49">
        <v>240000</v>
      </c>
      <c r="L24" s="49">
        <v>360000</v>
      </c>
      <c r="M24" s="49">
        <v>600000</v>
      </c>
      <c r="N24" s="49">
        <v>600000</v>
      </c>
      <c r="O24" s="454" cm="1">
        <f t="array" ref="O24">INDEX($J24:$N24,O14)/12</f>
        <v>10000</v>
      </c>
      <c r="P24" s="454" cm="1">
        <f t="array" ref="P24">INDEX($J24:$N24,P14)/12</f>
        <v>10000</v>
      </c>
      <c r="Q24" s="454" cm="1">
        <f t="array" ref="Q24">INDEX($J24:$N24,Q14)/12</f>
        <v>10000</v>
      </c>
      <c r="R24" s="454" cm="1">
        <f t="array" ref="R24">INDEX($J24:$N24,R14)/12</f>
        <v>10000</v>
      </c>
      <c r="S24" s="454" cm="1">
        <f t="array" ref="S24">INDEX($J24:$N24,S14)/12</f>
        <v>10000</v>
      </c>
      <c r="T24" s="454" cm="1">
        <f t="array" ref="T24">INDEX($J24:$N24,T14)/12</f>
        <v>10000</v>
      </c>
      <c r="U24" s="454" cm="1">
        <f t="array" ref="U24">INDEX($J24:$N24,U14)/12</f>
        <v>10000</v>
      </c>
      <c r="V24" s="454" cm="1">
        <f t="array" ref="V24">INDEX($J24:$N24,V14)/12</f>
        <v>10000</v>
      </c>
      <c r="W24" s="454" cm="1">
        <f t="array" ref="W24">INDEX($J24:$N24,W14)/12</f>
        <v>10000</v>
      </c>
      <c r="X24" s="454" cm="1">
        <f t="array" ref="X24">INDEX($J24:$N24,X14)/12</f>
        <v>10000</v>
      </c>
      <c r="Y24" s="454" cm="1">
        <f t="array" ref="Y24">INDEX($J24:$N24,Y14)/12</f>
        <v>10000</v>
      </c>
      <c r="Z24" s="454" cm="1">
        <f t="array" ref="Z24">INDEX($J24:$N24,Z14)/12</f>
        <v>10000</v>
      </c>
      <c r="AA24" s="454" cm="1">
        <f t="array" ref="AA24">INDEX($J24:$N24,AA14)/12</f>
        <v>20000</v>
      </c>
      <c r="AB24" s="454" cm="1">
        <f t="array" ref="AB24">INDEX($J24:$N24,AB14)/12</f>
        <v>20000</v>
      </c>
      <c r="AC24" s="454" cm="1">
        <f t="array" ref="AC24">INDEX($J24:$N24,AC14)/12</f>
        <v>20000</v>
      </c>
      <c r="AD24" s="454" cm="1">
        <f t="array" ref="AD24">INDEX($J24:$N24,AD14)/12</f>
        <v>20000</v>
      </c>
      <c r="AE24" s="454" cm="1">
        <f t="array" ref="AE24">INDEX($J24:$N24,AE14)/12</f>
        <v>20000</v>
      </c>
      <c r="AF24" s="454" cm="1">
        <f t="array" ref="AF24">INDEX($J24:$N24,AF14)/12</f>
        <v>20000</v>
      </c>
      <c r="AG24" s="454" cm="1">
        <f t="array" ref="AG24">INDEX($J24:$N24,AG14)/12</f>
        <v>20000</v>
      </c>
      <c r="AH24" s="454" cm="1">
        <f t="array" ref="AH24">INDEX($J24:$N24,AH14)/12</f>
        <v>20000</v>
      </c>
      <c r="AI24" s="454" cm="1">
        <f t="array" ref="AI24">INDEX($J24:$N24,AI14)/12</f>
        <v>20000</v>
      </c>
      <c r="AJ24" s="454" cm="1">
        <f t="array" ref="AJ24">INDEX($J24:$N24,AJ14)/12</f>
        <v>20000</v>
      </c>
      <c r="AK24" s="454" cm="1">
        <f t="array" ref="AK24">INDEX($J24:$N24,AK14)/12</f>
        <v>20000</v>
      </c>
      <c r="AL24" s="454" cm="1">
        <f t="array" ref="AL24">INDEX($J24:$N24,AL14)/12</f>
        <v>20000</v>
      </c>
      <c r="AM24" s="454" cm="1">
        <f t="array" ref="AM24">INDEX($J24:$N24,AM14)/12</f>
        <v>30000</v>
      </c>
      <c r="AN24" s="454" cm="1">
        <f t="array" ref="AN24">INDEX($J24:$N24,AN14)/12</f>
        <v>30000</v>
      </c>
      <c r="AO24" s="454" cm="1">
        <f t="array" ref="AO24">INDEX($J24:$N24,AO14)/12</f>
        <v>30000</v>
      </c>
      <c r="AP24" s="454" cm="1">
        <f t="array" ref="AP24">INDEX($J24:$N24,AP14)/12</f>
        <v>30000</v>
      </c>
      <c r="AQ24" s="454" cm="1">
        <f t="array" ref="AQ24">INDEX($J24:$N24,AQ14)/12</f>
        <v>30000</v>
      </c>
      <c r="AR24" s="454" cm="1">
        <f t="array" ref="AR24">INDEX($J24:$N24,AR14)/12</f>
        <v>30000</v>
      </c>
      <c r="AS24" s="454" cm="1">
        <f t="array" ref="AS24">INDEX($J24:$N24,AS14)/12</f>
        <v>30000</v>
      </c>
      <c r="AT24" s="454" cm="1">
        <f t="array" ref="AT24">INDEX($J24:$N24,AT14)/12</f>
        <v>30000</v>
      </c>
      <c r="AU24" s="454" cm="1">
        <f t="array" ref="AU24">INDEX($J24:$N24,AU14)/12</f>
        <v>30000</v>
      </c>
      <c r="AV24" s="454" cm="1">
        <f t="array" ref="AV24">INDEX($J24:$N24,AV14)/12</f>
        <v>30000</v>
      </c>
      <c r="AW24" s="454" cm="1">
        <f t="array" ref="AW24">INDEX($J24:$N24,AW14)/12</f>
        <v>30000</v>
      </c>
      <c r="AX24" s="454" cm="1">
        <f t="array" ref="AX24">INDEX($J24:$N24,AX14)/12</f>
        <v>30000</v>
      </c>
    </row>
    <row r="25" spans="1:50" s="11" customFormat="1" ht="16">
      <c r="A25" s="65"/>
      <c r="B25" s="54"/>
      <c r="C25" s="54"/>
      <c r="D25" s="54"/>
      <c r="E25" s="54"/>
      <c r="F25" s="54"/>
      <c r="G25" s="54"/>
      <c r="H25" s="217"/>
      <c r="I25" s="47" t="s">
        <v>552</v>
      </c>
      <c r="J25" s="201">
        <v>0.03</v>
      </c>
      <c r="K25" s="52"/>
      <c r="L25" s="52"/>
      <c r="M25" s="52"/>
      <c r="N25" s="59"/>
      <c r="O25" s="454">
        <f>O19*O24*$J$25</f>
        <v>9000</v>
      </c>
      <c r="P25" s="454">
        <f>P19*P24*$J$25</f>
        <v>10200</v>
      </c>
      <c r="Q25" s="454">
        <f t="shared" ref="Q25:Z25" si="95">Q19*Q24*$J$25</f>
        <v>11400</v>
      </c>
      <c r="R25" s="454">
        <f>R19*R24*$J$25</f>
        <v>12600</v>
      </c>
      <c r="S25" s="454">
        <f t="shared" si="95"/>
        <v>13800</v>
      </c>
      <c r="T25" s="454">
        <f t="shared" si="95"/>
        <v>15000</v>
      </c>
      <c r="U25" s="454">
        <f>U19*U24*$J$25</f>
        <v>16200</v>
      </c>
      <c r="V25" s="454">
        <f>V19*V24*$J$25</f>
        <v>17400</v>
      </c>
      <c r="W25" s="454">
        <f t="shared" si="95"/>
        <v>18600</v>
      </c>
      <c r="X25" s="454">
        <f t="shared" si="95"/>
        <v>19800</v>
      </c>
      <c r="Y25" s="454">
        <f t="shared" si="95"/>
        <v>21000</v>
      </c>
      <c r="Z25" s="454">
        <f t="shared" si="95"/>
        <v>22200</v>
      </c>
      <c r="AA25" s="454">
        <f t="shared" ref="AA25:AC25" si="96">AA19*AA24*$J$25</f>
        <v>46800</v>
      </c>
      <c r="AB25" s="454">
        <f t="shared" si="96"/>
        <v>48600</v>
      </c>
      <c r="AC25" s="454">
        <f t="shared" si="96"/>
        <v>50400</v>
      </c>
      <c r="AD25" s="454">
        <f t="shared" ref="AD25:AJ25" si="97">AD19*AD24*$J$25</f>
        <v>52200</v>
      </c>
      <c r="AE25" s="454">
        <f t="shared" si="97"/>
        <v>54000</v>
      </c>
      <c r="AF25" s="454">
        <f t="shared" si="97"/>
        <v>55200</v>
      </c>
      <c r="AG25" s="454">
        <f t="shared" si="97"/>
        <v>56400</v>
      </c>
      <c r="AH25" s="454">
        <f t="shared" si="97"/>
        <v>57600</v>
      </c>
      <c r="AI25" s="454">
        <f t="shared" si="97"/>
        <v>58800</v>
      </c>
      <c r="AJ25" s="454">
        <f t="shared" si="97"/>
        <v>60000</v>
      </c>
      <c r="AK25" s="454">
        <f t="shared" ref="AK25:AL25" si="98">AK19*AK24*$J$25</f>
        <v>61200</v>
      </c>
      <c r="AL25" s="454">
        <f t="shared" si="98"/>
        <v>62400</v>
      </c>
      <c r="AM25" s="454">
        <f t="shared" ref="AM25:AV25" si="99">AM19*AM24*$J$25</f>
        <v>95400</v>
      </c>
      <c r="AN25" s="454">
        <f t="shared" si="99"/>
        <v>98100</v>
      </c>
      <c r="AO25" s="454">
        <f t="shared" si="99"/>
        <v>100800</v>
      </c>
      <c r="AP25" s="454">
        <f t="shared" si="99"/>
        <v>103500</v>
      </c>
      <c r="AQ25" s="454">
        <f t="shared" si="99"/>
        <v>106200</v>
      </c>
      <c r="AR25" s="454">
        <f t="shared" si="99"/>
        <v>108900</v>
      </c>
      <c r="AS25" s="454">
        <f t="shared" si="99"/>
        <v>111600</v>
      </c>
      <c r="AT25" s="454">
        <f t="shared" si="99"/>
        <v>114300</v>
      </c>
      <c r="AU25" s="454">
        <f t="shared" si="99"/>
        <v>117000</v>
      </c>
      <c r="AV25" s="454">
        <f t="shared" si="99"/>
        <v>119700</v>
      </c>
      <c r="AW25" s="454">
        <f t="shared" ref="AW25:AX25" si="100">AW19*AW24*$J$25</f>
        <v>122400</v>
      </c>
      <c r="AX25" s="454">
        <f t="shared" si="100"/>
        <v>125100</v>
      </c>
    </row>
    <row r="26" spans="1:50" s="11" customFormat="1" ht="16">
      <c r="A26" s="65"/>
      <c r="B26" s="54"/>
      <c r="C26" s="54"/>
      <c r="D26" s="54"/>
      <c r="E26" s="54"/>
      <c r="F26" s="54"/>
      <c r="G26" s="231"/>
      <c r="H26" s="217"/>
      <c r="I26" s="51"/>
      <c r="J26" s="52"/>
      <c r="K26" s="52"/>
      <c r="L26" s="52"/>
      <c r="M26" s="52"/>
      <c r="N26" s="59"/>
      <c r="O26" s="455">
        <f>O25</f>
        <v>9000</v>
      </c>
      <c r="P26" s="455">
        <f>P25</f>
        <v>10200</v>
      </c>
      <c r="Q26" s="455">
        <f t="shared" ref="Q26:Y26" si="101">Q25</f>
        <v>11400</v>
      </c>
      <c r="R26" s="455">
        <f t="shared" si="101"/>
        <v>12600</v>
      </c>
      <c r="S26" s="455">
        <f t="shared" si="101"/>
        <v>13800</v>
      </c>
      <c r="T26" s="455">
        <f t="shared" si="101"/>
        <v>15000</v>
      </c>
      <c r="U26" s="455">
        <f>U25</f>
        <v>16200</v>
      </c>
      <c r="V26" s="455">
        <f t="shared" si="101"/>
        <v>17400</v>
      </c>
      <c r="W26" s="455">
        <f t="shared" si="101"/>
        <v>18600</v>
      </c>
      <c r="X26" s="455">
        <f t="shared" si="101"/>
        <v>19800</v>
      </c>
      <c r="Y26" s="455">
        <f t="shared" si="101"/>
        <v>21000</v>
      </c>
      <c r="Z26" s="455">
        <f>Z25</f>
        <v>22200</v>
      </c>
      <c r="AA26" s="455">
        <f t="shared" ref="AA26:AC26" si="102">AA25</f>
        <v>46800</v>
      </c>
      <c r="AB26" s="455">
        <f t="shared" si="102"/>
        <v>48600</v>
      </c>
      <c r="AC26" s="455">
        <f t="shared" si="102"/>
        <v>50400</v>
      </c>
      <c r="AD26" s="455">
        <f t="shared" ref="AD26" si="103">AD25</f>
        <v>52200</v>
      </c>
      <c r="AE26" s="455">
        <f t="shared" ref="AE26" si="104">AE25</f>
        <v>54000</v>
      </c>
      <c r="AF26" s="455">
        <f t="shared" ref="AF26" si="105">AF25</f>
        <v>55200</v>
      </c>
      <c r="AG26" s="455">
        <f t="shared" ref="AG26" si="106">AG25</f>
        <v>56400</v>
      </c>
      <c r="AH26" s="455">
        <f t="shared" ref="AH26" si="107">AH25</f>
        <v>57600</v>
      </c>
      <c r="AI26" s="455">
        <f t="shared" ref="AI26" si="108">AI25</f>
        <v>58800</v>
      </c>
      <c r="AJ26" s="455">
        <f t="shared" ref="AJ26" si="109">AJ25</f>
        <v>60000</v>
      </c>
      <c r="AK26" s="455">
        <f t="shared" ref="AK26" si="110">AK25</f>
        <v>61200</v>
      </c>
      <c r="AL26" s="455">
        <f t="shared" ref="AL26" si="111">AL25</f>
        <v>62400</v>
      </c>
      <c r="AM26" s="455">
        <f t="shared" ref="AM26" si="112">AM25</f>
        <v>95400</v>
      </c>
      <c r="AN26" s="455">
        <f t="shared" ref="AN26" si="113">AN25</f>
        <v>98100</v>
      </c>
      <c r="AO26" s="455">
        <f t="shared" ref="AO26" si="114">AO25</f>
        <v>100800</v>
      </c>
      <c r="AP26" s="455">
        <f t="shared" ref="AP26" si="115">AP25</f>
        <v>103500</v>
      </c>
      <c r="AQ26" s="455">
        <f t="shared" ref="AQ26" si="116">AQ25</f>
        <v>106200</v>
      </c>
      <c r="AR26" s="455">
        <f t="shared" ref="AR26" si="117">AR25</f>
        <v>108900</v>
      </c>
      <c r="AS26" s="455">
        <f t="shared" ref="AS26" si="118">AS25</f>
        <v>111600</v>
      </c>
      <c r="AT26" s="455">
        <f t="shared" ref="AT26" si="119">AT25</f>
        <v>114300</v>
      </c>
      <c r="AU26" s="455">
        <f t="shared" ref="AU26" si="120">AU25</f>
        <v>117000</v>
      </c>
      <c r="AV26" s="455">
        <f t="shared" ref="AV26" si="121">AV25</f>
        <v>119700</v>
      </c>
      <c r="AW26" s="455">
        <f t="shared" ref="AW26" si="122">AW25</f>
        <v>122400</v>
      </c>
      <c r="AX26" s="455">
        <f t="shared" ref="AX26" si="123">AX25</f>
        <v>125100</v>
      </c>
    </row>
    <row r="27" spans="1:50" s="11" customFormat="1">
      <c r="A27" s="65"/>
      <c r="B27" s="56"/>
      <c r="C27" s="56"/>
      <c r="D27" s="56"/>
      <c r="E27" s="56"/>
      <c r="F27" s="56"/>
      <c r="G27" s="56"/>
      <c r="H27" s="217"/>
      <c r="I27" s="51"/>
      <c r="J27" s="52"/>
      <c r="K27" s="52"/>
      <c r="L27" s="52"/>
      <c r="M27" s="52"/>
      <c r="N27" s="59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240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240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</row>
    <row r="28" spans="1:50" s="11" customFormat="1">
      <c r="A28" s="65"/>
      <c r="B28" s="58"/>
      <c r="C28" s="58"/>
      <c r="D28" s="58"/>
      <c r="E28" s="58"/>
      <c r="F28" s="58"/>
      <c r="G28" s="58"/>
      <c r="H28" s="217"/>
      <c r="I28" s="51"/>
      <c r="J28" s="52"/>
      <c r="K28" s="52"/>
      <c r="L28" s="52"/>
      <c r="M28" s="52"/>
      <c r="N28" s="59"/>
      <c r="O28" s="137"/>
      <c r="P28" s="137"/>
      <c r="Q28" s="137"/>
      <c r="R28" s="58"/>
      <c r="S28" s="58"/>
      <c r="T28" s="58"/>
      <c r="U28" s="56"/>
      <c r="V28" s="56"/>
      <c r="W28" s="56"/>
      <c r="X28" s="56"/>
      <c r="Y28" s="56"/>
      <c r="Z28" s="240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240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</row>
    <row r="29" spans="1:50" s="11" customFormat="1">
      <c r="A29" s="65"/>
      <c r="B29" s="58"/>
      <c r="C29" s="58"/>
      <c r="D29" s="58"/>
      <c r="E29" s="58"/>
      <c r="F29" s="58"/>
      <c r="G29" s="58"/>
      <c r="H29" s="217"/>
      <c r="I29" s="45" t="s">
        <v>616</v>
      </c>
      <c r="J29" s="52">
        <f>J18</f>
        <v>2026</v>
      </c>
      <c r="K29" s="52">
        <f>K18</f>
        <v>2027</v>
      </c>
      <c r="L29" s="52">
        <f>L18</f>
        <v>2028</v>
      </c>
      <c r="M29" s="52">
        <f>M18</f>
        <v>2029</v>
      </c>
      <c r="N29" s="52">
        <f>N18</f>
        <v>2030</v>
      </c>
      <c r="O29" s="137"/>
      <c r="P29" s="137"/>
      <c r="Q29" s="137"/>
      <c r="R29" s="58"/>
      <c r="S29" s="58"/>
      <c r="T29" s="58"/>
      <c r="U29" s="56"/>
      <c r="V29" s="56"/>
      <c r="W29" s="56"/>
      <c r="X29" s="56"/>
      <c r="Y29" s="56"/>
      <c r="Z29" s="240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240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</row>
    <row r="30" spans="1:50" s="11" customFormat="1" ht="16">
      <c r="A30" s="65"/>
      <c r="B30" s="55" t="s">
        <v>540</v>
      </c>
      <c r="C30" s="55">
        <f>O30</f>
        <v>15</v>
      </c>
      <c r="D30" s="55">
        <f>C33</f>
        <v>99</v>
      </c>
      <c r="E30" s="55">
        <f t="shared" ref="E30:F30" si="124">D33</f>
        <v>109</v>
      </c>
      <c r="F30" s="55">
        <f t="shared" si="124"/>
        <v>109</v>
      </c>
      <c r="G30" s="55"/>
      <c r="H30" s="217"/>
      <c r="I30" s="47" t="s">
        <v>527</v>
      </c>
      <c r="J30" s="48" t="s">
        <v>530</v>
      </c>
      <c r="K30" s="48" t="s">
        <v>530</v>
      </c>
      <c r="L30" s="48" t="s">
        <v>530</v>
      </c>
      <c r="M30" s="48" t="s">
        <v>530</v>
      </c>
      <c r="N30" s="48" t="s">
        <v>530</v>
      </c>
      <c r="O30" s="453">
        <v>15</v>
      </c>
      <c r="P30" s="454">
        <f>O33</f>
        <v>22</v>
      </c>
      <c r="Q30" s="454">
        <f t="shared" ref="Q30:Z30" si="125">P33</f>
        <v>29</v>
      </c>
      <c r="R30" s="454">
        <f t="shared" si="125"/>
        <v>36</v>
      </c>
      <c r="S30" s="454">
        <f t="shared" si="125"/>
        <v>43</v>
      </c>
      <c r="T30" s="454">
        <f t="shared" si="125"/>
        <v>50</v>
      </c>
      <c r="U30" s="454">
        <f t="shared" si="125"/>
        <v>57</v>
      </c>
      <c r="V30" s="454">
        <f t="shared" si="125"/>
        <v>64</v>
      </c>
      <c r="W30" s="454">
        <f>V33</f>
        <v>71</v>
      </c>
      <c r="X30" s="454">
        <f t="shared" si="125"/>
        <v>78</v>
      </c>
      <c r="Y30" s="454">
        <f t="shared" si="125"/>
        <v>85</v>
      </c>
      <c r="Z30" s="454">
        <f t="shared" si="125"/>
        <v>92</v>
      </c>
      <c r="AA30" s="454">
        <f t="shared" ref="AA30" si="126">Z33</f>
        <v>99</v>
      </c>
      <c r="AB30" s="454">
        <f t="shared" ref="AB30" si="127">AA33</f>
        <v>109</v>
      </c>
      <c r="AC30" s="454">
        <f t="shared" ref="AC30" si="128">AB33</f>
        <v>119</v>
      </c>
      <c r="AD30" s="454">
        <f t="shared" ref="AD30" si="129">AC33</f>
        <v>129</v>
      </c>
      <c r="AE30" s="454">
        <f t="shared" ref="AE30" si="130">AD33</f>
        <v>138</v>
      </c>
      <c r="AF30" s="454">
        <f t="shared" ref="AF30" si="131">AE33</f>
        <v>147</v>
      </c>
      <c r="AG30" s="454">
        <f t="shared" ref="AG30" si="132">AF33</f>
        <v>156</v>
      </c>
      <c r="AH30" s="454">
        <f t="shared" ref="AH30" si="133">AG33</f>
        <v>165</v>
      </c>
      <c r="AI30" s="454">
        <f t="shared" ref="AI30" si="134">AH33</f>
        <v>174</v>
      </c>
      <c r="AJ30" s="454">
        <f t="shared" ref="AJ30" si="135">AI33</f>
        <v>183</v>
      </c>
      <c r="AK30" s="454">
        <f t="shared" ref="AK30" si="136">AJ33</f>
        <v>192</v>
      </c>
      <c r="AL30" s="454">
        <f t="shared" ref="AL30" si="137">AK33</f>
        <v>201</v>
      </c>
      <c r="AM30" s="454">
        <f t="shared" ref="AM30" si="138">AL33</f>
        <v>210</v>
      </c>
      <c r="AN30" s="454">
        <f t="shared" ref="AN30" si="139">AM33</f>
        <v>221</v>
      </c>
      <c r="AO30" s="454">
        <f t="shared" ref="AO30" si="140">AN33</f>
        <v>232</v>
      </c>
      <c r="AP30" s="454">
        <f t="shared" ref="AP30" si="141">AO33</f>
        <v>243</v>
      </c>
      <c r="AQ30" s="454">
        <f t="shared" ref="AQ30" si="142">AP33</f>
        <v>254</v>
      </c>
      <c r="AR30" s="454">
        <f t="shared" ref="AR30" si="143">AQ33</f>
        <v>265</v>
      </c>
      <c r="AS30" s="454">
        <f t="shared" ref="AS30" si="144">AR33</f>
        <v>276</v>
      </c>
      <c r="AT30" s="454">
        <f t="shared" ref="AT30" si="145">AS33</f>
        <v>287</v>
      </c>
      <c r="AU30" s="454">
        <f t="shared" ref="AU30" si="146">AT33</f>
        <v>298</v>
      </c>
      <c r="AV30" s="454">
        <f t="shared" ref="AV30" si="147">AU33</f>
        <v>309</v>
      </c>
      <c r="AW30" s="454">
        <f t="shared" ref="AW30" si="148">AV33</f>
        <v>320</v>
      </c>
      <c r="AX30" s="454">
        <f t="shared" ref="AX30" si="149">AW33</f>
        <v>331</v>
      </c>
    </row>
    <row r="31" spans="1:50" s="11" customFormat="1" ht="16">
      <c r="A31" s="65"/>
      <c r="B31" s="55" t="s">
        <v>541</v>
      </c>
      <c r="C31" s="44">
        <f>SUMIF(O15:Z15,C$15,O31:Z31)</f>
        <v>84</v>
      </c>
      <c r="D31" s="44">
        <f t="shared" ref="D31:F31" si="150">SUMIF(P15:AA15,D$15,P31:AA31)</f>
        <v>10</v>
      </c>
      <c r="E31" s="44">
        <f t="shared" si="150"/>
        <v>0</v>
      </c>
      <c r="F31" s="44">
        <f t="shared" si="150"/>
        <v>0</v>
      </c>
      <c r="G31" s="55"/>
      <c r="H31" s="217"/>
      <c r="I31" s="47" t="s">
        <v>528</v>
      </c>
      <c r="J31" s="49">
        <v>7</v>
      </c>
      <c r="K31" s="49">
        <v>10</v>
      </c>
      <c r="L31" s="49">
        <v>12</v>
      </c>
      <c r="M31" s="49">
        <v>15</v>
      </c>
      <c r="N31" s="49">
        <v>16</v>
      </c>
      <c r="O31" s="454">
        <f>IF(OR(AND(HLOOKUP(O$15,$J$29:$N$32,2,1)="Quarterly",MOD(Assumptions!$C$11,3)=0),AND(HLOOKUP(O$15,$J$29:$N$32,2,1)="Annually",MOD(Assumptions!$C$11,12)=0),HLOOKUP(O$15,$J$29:$N$32,2,1)="Monthly"),HLOOKUP(O$15,$J$29:$N$32,3,1),0)</f>
        <v>7</v>
      </c>
      <c r="P31" s="454">
        <f>IF(OR(AND(HLOOKUP(P$15,$J$29:$N$32,2,1)="Quarterly",MOD(Assumptions!$C$11,3)=0),AND(HLOOKUP(P$15,$J$29:$N$32,2,1)="Annually",MOD(Assumptions!$C$11,12)=0),HLOOKUP(P$15,$J$29:$N$32,2,1)="Monthly"),HLOOKUP(P$15,$J$29:$N$32,3,1),0)</f>
        <v>7</v>
      </c>
      <c r="Q31" s="454">
        <f>IF(OR(AND(HLOOKUP(Q$15,$J$29:$N$32,2,1)="Quarterly",MOD(Assumptions!$C$11,3)=0),AND(HLOOKUP(Q$15,$J$29:$N$32,2,1)="Annually",MOD(Assumptions!$C$11,12)=0),HLOOKUP(Q$15,$J$29:$N$32,2,1)="Monthly"),HLOOKUP(Q$15,$J$29:$N$32,3,1),0)</f>
        <v>7</v>
      </c>
      <c r="R31" s="454">
        <f>IF(OR(AND(HLOOKUP(R$15,$J$29:$N$32,2,1)="Quarterly",MOD(Assumptions!$C$11,3)=0),AND(HLOOKUP(R$15,$J$29:$N$32,2,1)="Annually",MOD(Assumptions!$C$11,12)=0),HLOOKUP(R$15,$J$29:$N$32,2,1)="Monthly"),HLOOKUP(R$15,$J$29:$N$32,3,1),0)</f>
        <v>7</v>
      </c>
      <c r="S31" s="454">
        <f>IF(OR(AND(HLOOKUP(S$15,$J$29:$N$32,2,1)="Quarterly",MOD(Assumptions!$C$11,3)=0),AND(HLOOKUP(S$15,$J$29:$N$32,2,1)="Annually",MOD(Assumptions!$C$11,12)=0),HLOOKUP(S$15,$J$29:$N$32,2,1)="Monthly"),HLOOKUP(S$15,$J$29:$N$32,3,1),0)</f>
        <v>7</v>
      </c>
      <c r="T31" s="454">
        <f>IF(OR(AND(HLOOKUP(T$15,$J$29:$N$32,2,1)="Quarterly",MOD(Assumptions!$C$11,3)=0),AND(HLOOKUP(T$15,$J$29:$N$32,2,1)="Annually",MOD(Assumptions!$C$11,12)=0),HLOOKUP(T$15,$J$29:$N$32,2,1)="Monthly"),HLOOKUP(T$15,$J$29:$N$32,3,1),0)</f>
        <v>7</v>
      </c>
      <c r="U31" s="454">
        <f>IF(OR(AND(HLOOKUP(U$15,$J$29:$N$32,2,1)="Quarterly",MOD(Assumptions!$C$11,3)=0),AND(HLOOKUP(U$15,$J$29:$N$32,2,1)="Annually",MOD(Assumptions!$C$11,12)=0),HLOOKUP(U$15,$J$29:$N$32,2,1)="Monthly"),HLOOKUP(U$15,$J$29:$N$32,3,1),0)</f>
        <v>7</v>
      </c>
      <c r="V31" s="454">
        <f>IF(OR(AND(HLOOKUP(V$15,$J$29:$N$32,2,1)="Quarterly",MOD(Assumptions!$C$11,3)=0),AND(HLOOKUP(V$15,$J$29:$N$32,2,1)="Annually",MOD(Assumptions!$C$11,12)=0),HLOOKUP(V$15,$J$29:$N$32,2,1)="Monthly"),HLOOKUP(V$15,$J$29:$N$32,3,1),0)</f>
        <v>7</v>
      </c>
      <c r="W31" s="454">
        <f>IF(OR(AND(HLOOKUP(W$15,$J$29:$N$32,2,1)="Quarterly",MOD(Assumptions!$C$11,3)=0),AND(HLOOKUP(W$15,$J$29:$N$32,2,1)="Annually",MOD(Assumptions!$C$11,12)=0),HLOOKUP(W$15,$J$29:$N$32,2,1)="Monthly"),HLOOKUP(W$15,$J$29:$N$32,3,1),0)</f>
        <v>7</v>
      </c>
      <c r="X31" s="454">
        <f>IF(OR(AND(HLOOKUP(X$15,$J$29:$N$32,2,1)="Quarterly",MOD(Assumptions!$C$11,3)=0),AND(HLOOKUP(X$15,$J$29:$N$32,2,1)="Annually",MOD(Assumptions!$C$11,12)=0),HLOOKUP(X$15,$J$29:$N$32,2,1)="Monthly"),HLOOKUP(X$15,$J$29:$N$32,3,1),0)</f>
        <v>7</v>
      </c>
      <c r="Y31" s="454">
        <f>IF(OR(AND(HLOOKUP(Y$15,$J$29:$N$32,2,1)="Quarterly",MOD(Assumptions!$C$11,3)=0),AND(HLOOKUP(Y$15,$J$29:$N$32,2,1)="Annually",MOD(Assumptions!$C$11,12)=0),HLOOKUP(Y$15,$J$29:$N$32,2,1)="Monthly"),HLOOKUP(Y$15,$J$29:$N$32,3,1),0)</f>
        <v>7</v>
      </c>
      <c r="Z31" s="454">
        <f>IF(OR(AND(HLOOKUP(Z$15,$J$29:$N$32,2,1)="Quarterly",MOD(Assumptions!$C$11,3)=0),AND(HLOOKUP(Z$15,$J$29:$N$32,2,1)="Annually",MOD(Assumptions!$C$11,12)=0),HLOOKUP(Z$15,$J$29:$N$32,2,1)="Monthly"),HLOOKUP(Z$15,$J$29:$N$32,3,1),0)</f>
        <v>7</v>
      </c>
      <c r="AA31" s="454">
        <f>IF(OR(AND(HLOOKUP(AA$15,$J$29:$N$32,2,1)="Quarterly",MOD(Assumptions!$C$11,3)=0),AND(HLOOKUP(AA$15,$J$29:$N$32,2,1)="Annually",MOD(Assumptions!$C$11,12)=0),HLOOKUP(AA$15,$J$29:$N$32,2,1)="Monthly"),HLOOKUP(AA$15,$J$29:$N$32,3,1),0)</f>
        <v>10</v>
      </c>
      <c r="AB31" s="454">
        <f>IF(OR(AND(HLOOKUP(AB$15,$J$29:$N$32,2,1)="Quarterly",MOD(Assumptions!$C$11,3)=0),AND(HLOOKUP(AB$15,$J$29:$N$32,2,1)="Annually",MOD(Assumptions!$C$11,12)=0),HLOOKUP(AB$15,$J$29:$N$32,2,1)="Monthly"),HLOOKUP(AB$15,$J$29:$N$32,3,1),0)</f>
        <v>10</v>
      </c>
      <c r="AC31" s="454">
        <f>IF(OR(AND(HLOOKUP(AC$15,$J$29:$N$32,2,1)="Quarterly",MOD(Assumptions!$C$11,3)=0),AND(HLOOKUP(AC$15,$J$29:$N$32,2,1)="Annually",MOD(Assumptions!$C$11,12)=0),HLOOKUP(AC$15,$J$29:$N$32,2,1)="Monthly"),HLOOKUP(AC$15,$J$29:$N$32,3,1),0)</f>
        <v>10</v>
      </c>
      <c r="AD31" s="454">
        <f>IF(OR(AND(HLOOKUP(AD$15,$J$29:$N$32,2,1)="Quarterly",MOD(Assumptions!$C$11,3)=0),AND(HLOOKUP(AD$15,$J$29:$N$32,2,1)="Annually",MOD(Assumptions!$C$11,12)=0),HLOOKUP(AD$15,$J$29:$N$32,2,1)="Monthly"),HLOOKUP(AD$15,$J$29:$N$32,3,1),0)</f>
        <v>10</v>
      </c>
      <c r="AE31" s="454">
        <f>IF(OR(AND(HLOOKUP(AE$15,$J$29:$N$32,2,1)="Quarterly",MOD(Assumptions!$C$11,3)=0),AND(HLOOKUP(AE$15,$J$29:$N$32,2,1)="Annually",MOD(Assumptions!$C$11,12)=0),HLOOKUP(AE$15,$J$29:$N$32,2,1)="Monthly"),HLOOKUP(AE$15,$J$29:$N$32,3,1),0)</f>
        <v>10</v>
      </c>
      <c r="AF31" s="454">
        <f>IF(OR(AND(HLOOKUP(AF$15,$J$29:$N$32,2,1)="Quarterly",MOD(Assumptions!$C$11,3)=0),AND(HLOOKUP(AF$15,$J$29:$N$32,2,1)="Annually",MOD(Assumptions!$C$11,12)=0),HLOOKUP(AF$15,$J$29:$N$32,2,1)="Monthly"),HLOOKUP(AF$15,$J$29:$N$32,3,1),0)</f>
        <v>10</v>
      </c>
      <c r="AG31" s="454">
        <f>IF(OR(AND(HLOOKUP(AG$15,$J$29:$N$32,2,1)="Quarterly",MOD(Assumptions!$C$11,3)=0),AND(HLOOKUP(AG$15,$J$29:$N$32,2,1)="Annually",MOD(Assumptions!$C$11,12)=0),HLOOKUP(AG$15,$J$29:$N$32,2,1)="Monthly"),HLOOKUP(AG$15,$J$29:$N$32,3,1),0)</f>
        <v>10</v>
      </c>
      <c r="AH31" s="454">
        <f>IF(OR(AND(HLOOKUP(AH$15,$J$29:$N$32,2,1)="Quarterly",MOD(Assumptions!$C$11,3)=0),AND(HLOOKUP(AH$15,$J$29:$N$32,2,1)="Annually",MOD(Assumptions!$C$11,12)=0),HLOOKUP(AH$15,$J$29:$N$32,2,1)="Monthly"),HLOOKUP(AH$15,$J$29:$N$32,3,1),0)</f>
        <v>10</v>
      </c>
      <c r="AI31" s="454">
        <f>IF(OR(AND(HLOOKUP(AI$15,$J$29:$N$32,2,1)="Quarterly",MOD(Assumptions!$C$11,3)=0),AND(HLOOKUP(AI$15,$J$29:$N$32,2,1)="Annually",MOD(Assumptions!$C$11,12)=0),HLOOKUP(AI$15,$J$29:$N$32,2,1)="Monthly"),HLOOKUP(AI$15,$J$29:$N$32,3,1),0)</f>
        <v>10</v>
      </c>
      <c r="AJ31" s="454">
        <f>IF(OR(AND(HLOOKUP(AJ$15,$J$29:$N$32,2,1)="Quarterly",MOD(Assumptions!$C$11,3)=0),AND(HLOOKUP(AJ$15,$J$29:$N$32,2,1)="Annually",MOD(Assumptions!$C$11,12)=0),HLOOKUP(AJ$15,$J$29:$N$32,2,1)="Monthly"),HLOOKUP(AJ$15,$J$29:$N$32,3,1),0)</f>
        <v>10</v>
      </c>
      <c r="AK31" s="454">
        <f>IF(OR(AND(HLOOKUP(AK$15,$J$29:$N$32,2,1)="Quarterly",MOD(Assumptions!$C$11,3)=0),AND(HLOOKUP(AK$15,$J$29:$N$32,2,1)="Annually",MOD(Assumptions!$C$11,12)=0),HLOOKUP(AK$15,$J$29:$N$32,2,1)="Monthly"),HLOOKUP(AK$15,$J$29:$N$32,3,1),0)</f>
        <v>10</v>
      </c>
      <c r="AL31" s="454">
        <f>IF(OR(AND(HLOOKUP(AL$15,$J$29:$N$32,2,1)="Quarterly",MOD(Assumptions!$C$11,3)=0),AND(HLOOKUP(AL$15,$J$29:$N$32,2,1)="Annually",MOD(Assumptions!$C$11,12)=0),HLOOKUP(AL$15,$J$29:$N$32,2,1)="Monthly"),HLOOKUP(AL$15,$J$29:$N$32,3,1),0)</f>
        <v>10</v>
      </c>
      <c r="AM31" s="454">
        <f>IF(OR(AND(HLOOKUP(AM$15,$J$29:$N$32,2,1)="Quarterly",MOD(Assumptions!$C$11,3)=0),AND(HLOOKUP(AM$15,$J$29:$N$32,2,1)="Annually",MOD(Assumptions!$C$11,12)=0),HLOOKUP(AM$15,$J$29:$N$32,2,1)="Monthly"),HLOOKUP(AM$15,$J$29:$N$32,3,1),0)</f>
        <v>12</v>
      </c>
      <c r="AN31" s="454">
        <f>IF(OR(AND(HLOOKUP(AN$15,$J$29:$N$32,2,1)="Quarterly",MOD(Assumptions!$C$11,3)=0),AND(HLOOKUP(AN$15,$J$29:$N$32,2,1)="Annually",MOD(Assumptions!$C$11,12)=0),HLOOKUP(AN$15,$J$29:$N$32,2,1)="Monthly"),HLOOKUP(AN$15,$J$29:$N$32,3,1),0)</f>
        <v>12</v>
      </c>
      <c r="AO31" s="454">
        <f>IF(OR(AND(HLOOKUP(AO$15,$J$29:$N$32,2,1)="Quarterly",MOD(Assumptions!$C$11,3)=0),AND(HLOOKUP(AO$15,$J$29:$N$32,2,1)="Annually",MOD(Assumptions!$C$11,12)=0),HLOOKUP(AO$15,$J$29:$N$32,2,1)="Monthly"),HLOOKUP(AO$15,$J$29:$N$32,3,1),0)</f>
        <v>12</v>
      </c>
      <c r="AP31" s="454">
        <f>IF(OR(AND(HLOOKUP(AP$15,$J$29:$N$32,2,1)="Quarterly",MOD(Assumptions!$C$11,3)=0),AND(HLOOKUP(AP$15,$J$29:$N$32,2,1)="Annually",MOD(Assumptions!$C$11,12)=0),HLOOKUP(AP$15,$J$29:$N$32,2,1)="Monthly"),HLOOKUP(AP$15,$J$29:$N$32,3,1),0)</f>
        <v>12</v>
      </c>
      <c r="AQ31" s="454">
        <f>IF(OR(AND(HLOOKUP(AQ$15,$J$29:$N$32,2,1)="Quarterly",MOD(Assumptions!$C$11,3)=0),AND(HLOOKUP(AQ$15,$J$29:$N$32,2,1)="Annually",MOD(Assumptions!$C$11,12)=0),HLOOKUP(AQ$15,$J$29:$N$32,2,1)="Monthly"),HLOOKUP(AQ$15,$J$29:$N$32,3,1),0)</f>
        <v>12</v>
      </c>
      <c r="AR31" s="454">
        <f>IF(OR(AND(HLOOKUP(AR$15,$J$29:$N$32,2,1)="Quarterly",MOD(Assumptions!$C$11,3)=0),AND(HLOOKUP(AR$15,$J$29:$N$32,2,1)="Annually",MOD(Assumptions!$C$11,12)=0),HLOOKUP(AR$15,$J$29:$N$32,2,1)="Monthly"),HLOOKUP(AR$15,$J$29:$N$32,3,1),0)</f>
        <v>12</v>
      </c>
      <c r="AS31" s="454">
        <f>IF(OR(AND(HLOOKUP(AS$15,$J$29:$N$32,2,1)="Quarterly",MOD(Assumptions!$C$11,3)=0),AND(HLOOKUP(AS$15,$J$29:$N$32,2,1)="Annually",MOD(Assumptions!$C$11,12)=0),HLOOKUP(AS$15,$J$29:$N$32,2,1)="Monthly"),HLOOKUP(AS$15,$J$29:$N$32,3,1),0)</f>
        <v>12</v>
      </c>
      <c r="AT31" s="454">
        <f>IF(OR(AND(HLOOKUP(AT$15,$J$29:$N$32,2,1)="Quarterly",MOD(Assumptions!$C$11,3)=0),AND(HLOOKUP(AT$15,$J$29:$N$32,2,1)="Annually",MOD(Assumptions!$C$11,12)=0),HLOOKUP(AT$15,$J$29:$N$32,2,1)="Monthly"),HLOOKUP(AT$15,$J$29:$N$32,3,1),0)</f>
        <v>12</v>
      </c>
      <c r="AU31" s="454">
        <f>IF(OR(AND(HLOOKUP(AU$15,$J$29:$N$32,2,1)="Quarterly",MOD(Assumptions!$C$11,3)=0),AND(HLOOKUP(AU$15,$J$29:$N$32,2,1)="Annually",MOD(Assumptions!$C$11,12)=0),HLOOKUP(AU$15,$J$29:$N$32,2,1)="Monthly"),HLOOKUP(AU$15,$J$29:$N$32,3,1),0)</f>
        <v>12</v>
      </c>
      <c r="AV31" s="454">
        <f>IF(OR(AND(HLOOKUP(AV$15,$J$29:$N$32,2,1)="Quarterly",MOD(Assumptions!$C$11,3)=0),AND(HLOOKUP(AV$15,$J$29:$N$32,2,1)="Annually",MOD(Assumptions!$C$11,12)=0),HLOOKUP(AV$15,$J$29:$N$32,2,1)="Monthly"),HLOOKUP(AV$15,$J$29:$N$32,3,1),0)</f>
        <v>12</v>
      </c>
      <c r="AW31" s="454">
        <f>IF(OR(AND(HLOOKUP(AW$15,$J$29:$N$32,2,1)="Quarterly",MOD(Assumptions!$C$11,3)=0),AND(HLOOKUP(AW$15,$J$29:$N$32,2,1)="Annually",MOD(Assumptions!$C$11,12)=0),HLOOKUP(AW$15,$J$29:$N$32,2,1)="Monthly"),HLOOKUP(AW$15,$J$29:$N$32,3,1),0)</f>
        <v>12</v>
      </c>
      <c r="AX31" s="454">
        <f>IF(OR(AND(HLOOKUP(AX$15,$J$29:$N$32,2,1)="Quarterly",MOD(Assumptions!$C$11,3)=0),AND(HLOOKUP(AX$15,$J$29:$N$32,2,1)="Annually",MOD(Assumptions!$C$11,12)=0),HLOOKUP(AX$15,$J$29:$N$32,2,1)="Monthly"),HLOOKUP(AX$15,$J$29:$N$32,3,1),0)</f>
        <v>12</v>
      </c>
    </row>
    <row r="32" spans="1:50" s="11" customFormat="1" ht="16">
      <c r="A32" s="65"/>
      <c r="B32" s="55" t="s">
        <v>542</v>
      </c>
      <c r="C32" s="44">
        <f>SUMIF(O15:Z15,C$15,O32:Z32)</f>
        <v>0</v>
      </c>
      <c r="D32" s="44">
        <f t="shared" ref="D32:F32" si="151">SUMIF(P15:AA15,D$15,P32:AA32)</f>
        <v>0</v>
      </c>
      <c r="E32" s="44">
        <f t="shared" si="151"/>
        <v>0</v>
      </c>
      <c r="F32" s="44">
        <f t="shared" si="151"/>
        <v>0</v>
      </c>
      <c r="G32" s="55"/>
      <c r="H32" s="217"/>
      <c r="I32" s="47" t="s">
        <v>529</v>
      </c>
      <c r="J32" s="209">
        <v>0.05</v>
      </c>
      <c r="K32" s="209">
        <v>0.05</v>
      </c>
      <c r="L32" s="209">
        <v>0.05</v>
      </c>
      <c r="M32" s="209">
        <v>0.05</v>
      </c>
      <c r="N32" s="209">
        <v>0.05</v>
      </c>
      <c r="O32" s="454">
        <f>-ROUND(O30*HLOOKUP(O$15,$J$29:$N$32,4,1)/12,0)</f>
        <v>0</v>
      </c>
      <c r="P32" s="454">
        <f t="shared" ref="P32:AX32" si="152">-ROUND(P30*HLOOKUP(P$15,$J$29:$N$32,4,1)/12,0)</f>
        <v>0</v>
      </c>
      <c r="Q32" s="454">
        <f t="shared" si="152"/>
        <v>0</v>
      </c>
      <c r="R32" s="454">
        <f t="shared" si="152"/>
        <v>0</v>
      </c>
      <c r="S32" s="454">
        <f t="shared" si="152"/>
        <v>0</v>
      </c>
      <c r="T32" s="454">
        <f t="shared" si="152"/>
        <v>0</v>
      </c>
      <c r="U32" s="454">
        <f t="shared" si="152"/>
        <v>0</v>
      </c>
      <c r="V32" s="454">
        <f t="shared" si="152"/>
        <v>0</v>
      </c>
      <c r="W32" s="454">
        <f t="shared" si="152"/>
        <v>0</v>
      </c>
      <c r="X32" s="454">
        <f t="shared" si="152"/>
        <v>0</v>
      </c>
      <c r="Y32" s="454">
        <f t="shared" si="152"/>
        <v>0</v>
      </c>
      <c r="Z32" s="454">
        <f t="shared" si="152"/>
        <v>0</v>
      </c>
      <c r="AA32" s="454">
        <f t="shared" si="152"/>
        <v>0</v>
      </c>
      <c r="AB32" s="454">
        <f t="shared" si="152"/>
        <v>0</v>
      </c>
      <c r="AC32" s="454">
        <f t="shared" si="152"/>
        <v>0</v>
      </c>
      <c r="AD32" s="454">
        <f t="shared" si="152"/>
        <v>-1</v>
      </c>
      <c r="AE32" s="454">
        <f t="shared" si="152"/>
        <v>-1</v>
      </c>
      <c r="AF32" s="454">
        <f t="shared" si="152"/>
        <v>-1</v>
      </c>
      <c r="AG32" s="454">
        <f t="shared" si="152"/>
        <v>-1</v>
      </c>
      <c r="AH32" s="454">
        <f t="shared" si="152"/>
        <v>-1</v>
      </c>
      <c r="AI32" s="454">
        <f t="shared" si="152"/>
        <v>-1</v>
      </c>
      <c r="AJ32" s="454">
        <f t="shared" si="152"/>
        <v>-1</v>
      </c>
      <c r="AK32" s="454">
        <f t="shared" si="152"/>
        <v>-1</v>
      </c>
      <c r="AL32" s="454">
        <f t="shared" si="152"/>
        <v>-1</v>
      </c>
      <c r="AM32" s="454">
        <f t="shared" si="152"/>
        <v>-1</v>
      </c>
      <c r="AN32" s="454">
        <f t="shared" si="152"/>
        <v>-1</v>
      </c>
      <c r="AO32" s="454">
        <f t="shared" si="152"/>
        <v>-1</v>
      </c>
      <c r="AP32" s="454">
        <f t="shared" si="152"/>
        <v>-1</v>
      </c>
      <c r="AQ32" s="454">
        <f t="shared" si="152"/>
        <v>-1</v>
      </c>
      <c r="AR32" s="454">
        <f t="shared" si="152"/>
        <v>-1</v>
      </c>
      <c r="AS32" s="454">
        <f t="shared" si="152"/>
        <v>-1</v>
      </c>
      <c r="AT32" s="454">
        <f t="shared" si="152"/>
        <v>-1</v>
      </c>
      <c r="AU32" s="454">
        <f t="shared" si="152"/>
        <v>-1</v>
      </c>
      <c r="AV32" s="454">
        <f t="shared" si="152"/>
        <v>-1</v>
      </c>
      <c r="AW32" s="454">
        <f t="shared" si="152"/>
        <v>-1</v>
      </c>
      <c r="AX32" s="454">
        <f t="shared" si="152"/>
        <v>-1</v>
      </c>
    </row>
    <row r="33" spans="1:50" s="11" customFormat="1" ht="16">
      <c r="A33" s="65"/>
      <c r="B33" s="55" t="s">
        <v>543</v>
      </c>
      <c r="C33" s="230">
        <f>SUM(C30:C32)</f>
        <v>99</v>
      </c>
      <c r="D33" s="230">
        <f t="shared" ref="D33:F33" si="153">SUM(D30:D32)</f>
        <v>109</v>
      </c>
      <c r="E33" s="230">
        <f t="shared" si="153"/>
        <v>109</v>
      </c>
      <c r="F33" s="230">
        <f t="shared" si="153"/>
        <v>109</v>
      </c>
      <c r="G33" s="55"/>
      <c r="H33" s="217"/>
      <c r="I33" s="51"/>
      <c r="J33" s="52"/>
      <c r="K33" s="52"/>
      <c r="L33" s="52"/>
      <c r="M33" s="52"/>
      <c r="N33" s="59"/>
      <c r="O33" s="455">
        <f>SUM(O30:O32)</f>
        <v>22</v>
      </c>
      <c r="P33" s="455">
        <f t="shared" ref="P33:Z33" si="154">SUM(P30:P32)</f>
        <v>29</v>
      </c>
      <c r="Q33" s="455">
        <f t="shared" si="154"/>
        <v>36</v>
      </c>
      <c r="R33" s="455">
        <f t="shared" si="154"/>
        <v>43</v>
      </c>
      <c r="S33" s="455">
        <f t="shared" si="154"/>
        <v>50</v>
      </c>
      <c r="T33" s="455">
        <f t="shared" si="154"/>
        <v>57</v>
      </c>
      <c r="U33" s="455">
        <f t="shared" si="154"/>
        <v>64</v>
      </c>
      <c r="V33" s="455">
        <f t="shared" si="154"/>
        <v>71</v>
      </c>
      <c r="W33" s="455">
        <f>SUM(W30:W32)</f>
        <v>78</v>
      </c>
      <c r="X33" s="455">
        <f t="shared" si="154"/>
        <v>85</v>
      </c>
      <c r="Y33" s="455">
        <f>SUM(Y30:Y32)</f>
        <v>92</v>
      </c>
      <c r="Z33" s="455">
        <f t="shared" si="154"/>
        <v>99</v>
      </c>
      <c r="AA33" s="455">
        <f t="shared" ref="AA33:AC33" si="155">SUM(AA30:AA32)</f>
        <v>109</v>
      </c>
      <c r="AB33" s="455">
        <f t="shared" si="155"/>
        <v>119</v>
      </c>
      <c r="AC33" s="455">
        <f t="shared" si="155"/>
        <v>129</v>
      </c>
      <c r="AD33" s="455">
        <f t="shared" ref="AD33:AJ33" si="156">SUM(AD30:AD32)</f>
        <v>138</v>
      </c>
      <c r="AE33" s="455">
        <f t="shared" si="156"/>
        <v>147</v>
      </c>
      <c r="AF33" s="455">
        <f t="shared" si="156"/>
        <v>156</v>
      </c>
      <c r="AG33" s="455">
        <f t="shared" si="156"/>
        <v>165</v>
      </c>
      <c r="AH33" s="455">
        <f t="shared" si="156"/>
        <v>174</v>
      </c>
      <c r="AI33" s="455">
        <f t="shared" si="156"/>
        <v>183</v>
      </c>
      <c r="AJ33" s="455">
        <f t="shared" si="156"/>
        <v>192</v>
      </c>
      <c r="AK33" s="455">
        <f t="shared" ref="AK33:AL33" si="157">SUM(AK30:AK32)</f>
        <v>201</v>
      </c>
      <c r="AL33" s="455">
        <f t="shared" si="157"/>
        <v>210</v>
      </c>
      <c r="AM33" s="455">
        <f t="shared" ref="AM33:AV33" si="158">SUM(AM30:AM32)</f>
        <v>221</v>
      </c>
      <c r="AN33" s="455">
        <f t="shared" si="158"/>
        <v>232</v>
      </c>
      <c r="AO33" s="455">
        <f t="shared" si="158"/>
        <v>243</v>
      </c>
      <c r="AP33" s="455">
        <f t="shared" si="158"/>
        <v>254</v>
      </c>
      <c r="AQ33" s="455">
        <f t="shared" si="158"/>
        <v>265</v>
      </c>
      <c r="AR33" s="455">
        <f t="shared" si="158"/>
        <v>276</v>
      </c>
      <c r="AS33" s="455">
        <f t="shared" si="158"/>
        <v>287</v>
      </c>
      <c r="AT33" s="455">
        <f t="shared" si="158"/>
        <v>298</v>
      </c>
      <c r="AU33" s="455">
        <f t="shared" si="158"/>
        <v>309</v>
      </c>
      <c r="AV33" s="455">
        <f t="shared" si="158"/>
        <v>320</v>
      </c>
      <c r="AW33" s="455">
        <f t="shared" ref="AW33:AX33" si="159">SUM(AW30:AW32)</f>
        <v>331</v>
      </c>
      <c r="AX33" s="455">
        <f t="shared" si="159"/>
        <v>342</v>
      </c>
    </row>
    <row r="34" spans="1:50" s="11" customFormat="1">
      <c r="A34" s="65"/>
      <c r="B34" s="56"/>
      <c r="C34" s="56"/>
      <c r="D34" s="56"/>
      <c r="E34" s="56"/>
      <c r="F34" s="56"/>
      <c r="G34" s="56"/>
      <c r="H34" s="217"/>
      <c r="I34" s="51"/>
      <c r="J34" s="52"/>
      <c r="K34" s="52"/>
      <c r="L34" s="52"/>
      <c r="M34" s="52"/>
      <c r="N34" s="59"/>
      <c r="O34" s="137"/>
      <c r="P34" s="137"/>
      <c r="Q34" s="137"/>
      <c r="R34" s="58"/>
      <c r="S34" s="58"/>
      <c r="T34" s="58"/>
      <c r="U34" s="56"/>
      <c r="V34" s="56"/>
      <c r="W34" s="56"/>
      <c r="X34" s="56"/>
      <c r="Y34" s="56"/>
      <c r="Z34" s="240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240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</row>
    <row r="35" spans="1:50" s="11" customFormat="1" ht="16">
      <c r="A35" s="65"/>
      <c r="B35" s="44"/>
      <c r="C35" s="54"/>
      <c r="D35" s="54"/>
      <c r="E35" s="54"/>
      <c r="F35" s="54"/>
      <c r="G35" s="44"/>
      <c r="H35" s="217"/>
      <c r="I35" s="212" t="s">
        <v>551</v>
      </c>
      <c r="J35" s="49">
        <v>600000</v>
      </c>
      <c r="K35" s="49">
        <v>900000</v>
      </c>
      <c r="L35" s="49">
        <v>900000</v>
      </c>
      <c r="M35" s="49">
        <v>1000000</v>
      </c>
      <c r="N35" s="49">
        <v>1000000</v>
      </c>
      <c r="O35" s="454" cm="1">
        <f t="array" ref="O35">INDEX($J35:$N35,O14)/12</f>
        <v>50000</v>
      </c>
      <c r="P35" s="454" cm="1">
        <f t="array" ref="P35">INDEX($J35:$N35,P14)/12</f>
        <v>50000</v>
      </c>
      <c r="Q35" s="454" cm="1">
        <f t="array" ref="Q35">INDEX($J35:$N35,Q14)/12</f>
        <v>50000</v>
      </c>
      <c r="R35" s="454" cm="1">
        <f t="array" ref="R35">INDEX($J35:$N35,R14)/12</f>
        <v>50000</v>
      </c>
      <c r="S35" s="454" cm="1">
        <f t="array" ref="S35">INDEX($J35:$N35,S14)/12</f>
        <v>50000</v>
      </c>
      <c r="T35" s="454" cm="1">
        <f t="array" ref="T35">INDEX($J35:$N35,T14)/12</f>
        <v>50000</v>
      </c>
      <c r="U35" s="454" cm="1">
        <f t="array" ref="U35">INDEX($J35:$N35,U14)/12</f>
        <v>50000</v>
      </c>
      <c r="V35" s="454" cm="1">
        <f t="array" ref="V35">INDEX($J35:$N35,V14)/12</f>
        <v>50000</v>
      </c>
      <c r="W35" s="454" cm="1">
        <f t="array" ref="W35">INDEX($J35:$N35,W14)/12</f>
        <v>50000</v>
      </c>
      <c r="X35" s="454" cm="1">
        <f t="array" ref="X35">INDEX($J35:$N35,X14)/12</f>
        <v>50000</v>
      </c>
      <c r="Y35" s="454" cm="1">
        <f t="array" ref="Y35">INDEX($J35:$N35,Y14)/12</f>
        <v>50000</v>
      </c>
      <c r="Z35" s="454" cm="1">
        <f t="array" ref="Z35">INDEX($J35:$N35,Z14)/12</f>
        <v>50000</v>
      </c>
      <c r="AA35" s="454" cm="1">
        <f t="array" ref="AA35">INDEX($J35:$N35,AA14)/12</f>
        <v>75000</v>
      </c>
      <c r="AB35" s="454" cm="1">
        <f t="array" ref="AB35">INDEX($J35:$N35,AB14)/12</f>
        <v>75000</v>
      </c>
      <c r="AC35" s="454" cm="1">
        <f t="array" ref="AC35">INDEX($J35:$N35,AC14)/12</f>
        <v>75000</v>
      </c>
      <c r="AD35" s="454" cm="1">
        <f t="array" ref="AD35">INDEX($J35:$N35,AD14)/12</f>
        <v>75000</v>
      </c>
      <c r="AE35" s="454" cm="1">
        <f t="array" ref="AE35">INDEX($J35:$N35,AE14)/12</f>
        <v>75000</v>
      </c>
      <c r="AF35" s="454" cm="1">
        <f t="array" ref="AF35">INDEX($J35:$N35,AF14)/12</f>
        <v>75000</v>
      </c>
      <c r="AG35" s="454" cm="1">
        <f t="array" ref="AG35">INDEX($J35:$N35,AG14)/12</f>
        <v>75000</v>
      </c>
      <c r="AH35" s="454" cm="1">
        <f t="array" ref="AH35">INDEX($J35:$N35,AH14)/12</f>
        <v>75000</v>
      </c>
      <c r="AI35" s="454" cm="1">
        <f t="array" ref="AI35">INDEX($J35:$N35,AI14)/12</f>
        <v>75000</v>
      </c>
      <c r="AJ35" s="454" cm="1">
        <f t="array" ref="AJ35">INDEX($J35:$N35,AJ14)/12</f>
        <v>75000</v>
      </c>
      <c r="AK35" s="454" cm="1">
        <f t="array" ref="AK35">INDEX($J35:$N35,AK14)/12</f>
        <v>75000</v>
      </c>
      <c r="AL35" s="454" cm="1">
        <f t="array" ref="AL35">INDEX($J35:$N35,AL14)/12</f>
        <v>75000</v>
      </c>
      <c r="AM35" s="454" cm="1">
        <f t="array" ref="AM35">INDEX($J35:$N35,AM14)/12</f>
        <v>75000</v>
      </c>
      <c r="AN35" s="454" cm="1">
        <f t="array" ref="AN35">INDEX($J35:$N35,AN14)/12</f>
        <v>75000</v>
      </c>
      <c r="AO35" s="454" cm="1">
        <f t="array" ref="AO35">INDEX($J35:$N35,AO14)/12</f>
        <v>75000</v>
      </c>
      <c r="AP35" s="454" cm="1">
        <f t="array" ref="AP35">INDEX($J35:$N35,AP14)/12</f>
        <v>75000</v>
      </c>
      <c r="AQ35" s="454" cm="1">
        <f t="array" ref="AQ35">INDEX($J35:$N35,AQ14)/12</f>
        <v>75000</v>
      </c>
      <c r="AR35" s="454" cm="1">
        <f t="array" ref="AR35">INDEX($J35:$N35,AR14)/12</f>
        <v>75000</v>
      </c>
      <c r="AS35" s="454" cm="1">
        <f t="array" ref="AS35">INDEX($J35:$N35,AS14)/12</f>
        <v>75000</v>
      </c>
      <c r="AT35" s="454" cm="1">
        <f t="array" ref="AT35">INDEX($J35:$N35,AT14)/12</f>
        <v>75000</v>
      </c>
      <c r="AU35" s="454" cm="1">
        <f t="array" ref="AU35">INDEX($J35:$N35,AU14)/12</f>
        <v>75000</v>
      </c>
      <c r="AV35" s="454" cm="1">
        <f t="array" ref="AV35">INDEX($J35:$N35,AV14)/12</f>
        <v>75000</v>
      </c>
      <c r="AW35" s="454" cm="1">
        <f t="array" ref="AW35">INDEX($J35:$N35,AW14)/12</f>
        <v>75000</v>
      </c>
      <c r="AX35" s="454" cm="1">
        <f t="array" ref="AX35">INDEX($J35:$N35,AX14)/12</f>
        <v>75000</v>
      </c>
    </row>
    <row r="36" spans="1:50" s="11" customFormat="1" ht="16">
      <c r="A36" s="65"/>
      <c r="B36" s="54"/>
      <c r="C36" s="54"/>
      <c r="D36" s="54"/>
      <c r="E36" s="54"/>
      <c r="F36" s="54"/>
      <c r="G36" s="54"/>
      <c r="H36" s="148"/>
      <c r="I36" s="47" t="str">
        <f>I25</f>
        <v>Take rate</v>
      </c>
      <c r="J36" s="201">
        <v>0.02</v>
      </c>
      <c r="K36" s="52"/>
      <c r="L36" s="52"/>
      <c r="M36" s="52"/>
      <c r="N36" s="190"/>
      <c r="O36" s="454">
        <f>O30*O35*$J$36</f>
        <v>15000</v>
      </c>
      <c r="P36" s="454">
        <f t="shared" ref="P36:Z36" si="160">P30*P35*$J$36</f>
        <v>22000</v>
      </c>
      <c r="Q36" s="454">
        <f t="shared" si="160"/>
        <v>29000</v>
      </c>
      <c r="R36" s="454">
        <f t="shared" si="160"/>
        <v>36000</v>
      </c>
      <c r="S36" s="454">
        <f t="shared" si="160"/>
        <v>43000</v>
      </c>
      <c r="T36" s="454">
        <f t="shared" si="160"/>
        <v>50000</v>
      </c>
      <c r="U36" s="454">
        <f t="shared" si="160"/>
        <v>57000</v>
      </c>
      <c r="V36" s="454">
        <f t="shared" si="160"/>
        <v>64000</v>
      </c>
      <c r="W36" s="454">
        <f t="shared" si="160"/>
        <v>71000</v>
      </c>
      <c r="X36" s="454">
        <f t="shared" si="160"/>
        <v>78000</v>
      </c>
      <c r="Y36" s="454">
        <f t="shared" si="160"/>
        <v>85000</v>
      </c>
      <c r="Z36" s="454">
        <f t="shared" si="160"/>
        <v>92000</v>
      </c>
      <c r="AA36" s="454">
        <f t="shared" ref="AA36:AC36" si="161">AA30*AA35*$J$36</f>
        <v>148500</v>
      </c>
      <c r="AB36" s="454">
        <f t="shared" si="161"/>
        <v>163500</v>
      </c>
      <c r="AC36" s="454">
        <f t="shared" si="161"/>
        <v>178500</v>
      </c>
      <c r="AD36" s="454">
        <f t="shared" ref="AD36:AJ36" si="162">AD30*AD35*$J$36</f>
        <v>193500</v>
      </c>
      <c r="AE36" s="454">
        <f t="shared" si="162"/>
        <v>207000</v>
      </c>
      <c r="AF36" s="454">
        <f t="shared" si="162"/>
        <v>220500</v>
      </c>
      <c r="AG36" s="454">
        <f t="shared" si="162"/>
        <v>234000</v>
      </c>
      <c r="AH36" s="454">
        <f t="shared" si="162"/>
        <v>247500</v>
      </c>
      <c r="AI36" s="454">
        <f t="shared" si="162"/>
        <v>261000</v>
      </c>
      <c r="AJ36" s="454">
        <f t="shared" si="162"/>
        <v>274500</v>
      </c>
      <c r="AK36" s="454">
        <f t="shared" ref="AK36:AL36" si="163">AK30*AK35*$J$36</f>
        <v>288000</v>
      </c>
      <c r="AL36" s="454">
        <f t="shared" si="163"/>
        <v>301500</v>
      </c>
      <c r="AM36" s="454">
        <f t="shared" ref="AM36:AV36" si="164">AM30*AM35*$J$36</f>
        <v>315000</v>
      </c>
      <c r="AN36" s="454">
        <f t="shared" si="164"/>
        <v>331500</v>
      </c>
      <c r="AO36" s="454">
        <f t="shared" si="164"/>
        <v>348000</v>
      </c>
      <c r="AP36" s="454">
        <f t="shared" si="164"/>
        <v>364500</v>
      </c>
      <c r="AQ36" s="454">
        <f t="shared" si="164"/>
        <v>381000</v>
      </c>
      <c r="AR36" s="454">
        <f t="shared" si="164"/>
        <v>397500</v>
      </c>
      <c r="AS36" s="454">
        <f t="shared" si="164"/>
        <v>414000</v>
      </c>
      <c r="AT36" s="454">
        <f t="shared" si="164"/>
        <v>430500</v>
      </c>
      <c r="AU36" s="454">
        <f t="shared" si="164"/>
        <v>447000</v>
      </c>
      <c r="AV36" s="454">
        <f t="shared" si="164"/>
        <v>463500</v>
      </c>
      <c r="AW36" s="454">
        <f t="shared" ref="AW36:AX36" si="165">AW30*AW35*$J$36</f>
        <v>480000</v>
      </c>
      <c r="AX36" s="454">
        <f t="shared" si="165"/>
        <v>496500</v>
      </c>
    </row>
    <row r="37" spans="1:50" s="11" customFormat="1" ht="16">
      <c r="A37" s="65"/>
      <c r="B37" s="54"/>
      <c r="C37" s="54"/>
      <c r="D37" s="54"/>
      <c r="E37" s="54"/>
      <c r="F37" s="54"/>
      <c r="G37" s="54"/>
      <c r="H37" s="148"/>
      <c r="I37" s="51"/>
      <c r="J37" s="52"/>
      <c r="K37" s="52"/>
      <c r="L37" s="52"/>
      <c r="M37" s="52"/>
      <c r="N37" s="190"/>
      <c r="O37" s="455">
        <f>O36</f>
        <v>15000</v>
      </c>
      <c r="P37" s="455">
        <f>P36</f>
        <v>22000</v>
      </c>
      <c r="Q37" s="455">
        <f>Q36</f>
        <v>29000</v>
      </c>
      <c r="R37" s="455">
        <f t="shared" ref="R37" si="166">R36</f>
        <v>36000</v>
      </c>
      <c r="S37" s="455">
        <f t="shared" ref="S37" si="167">S36</f>
        <v>43000</v>
      </c>
      <c r="T37" s="455">
        <f t="shared" ref="T37" si="168">T36</f>
        <v>50000</v>
      </c>
      <c r="U37" s="455">
        <f t="shared" ref="U37" si="169">U36</f>
        <v>57000</v>
      </c>
      <c r="V37" s="455">
        <f t="shared" ref="V37" si="170">V36</f>
        <v>64000</v>
      </c>
      <c r="W37" s="455">
        <f t="shared" ref="W37" si="171">W36</f>
        <v>71000</v>
      </c>
      <c r="X37" s="455">
        <f t="shared" ref="X37" si="172">X36</f>
        <v>78000</v>
      </c>
      <c r="Y37" s="455">
        <f t="shared" ref="Y37" si="173">Y36</f>
        <v>85000</v>
      </c>
      <c r="Z37" s="455">
        <f>Z36</f>
        <v>92000</v>
      </c>
      <c r="AA37" s="455">
        <f t="shared" ref="AA37:AC37" si="174">AA36</f>
        <v>148500</v>
      </c>
      <c r="AB37" s="455">
        <f t="shared" si="174"/>
        <v>163500</v>
      </c>
      <c r="AC37" s="455">
        <f t="shared" si="174"/>
        <v>178500</v>
      </c>
      <c r="AD37" s="455">
        <f t="shared" ref="AD37" si="175">AD36</f>
        <v>193500</v>
      </c>
      <c r="AE37" s="455">
        <f t="shared" ref="AE37" si="176">AE36</f>
        <v>207000</v>
      </c>
      <c r="AF37" s="455">
        <f t="shared" ref="AF37" si="177">AF36</f>
        <v>220500</v>
      </c>
      <c r="AG37" s="455">
        <f t="shared" ref="AG37" si="178">AG36</f>
        <v>234000</v>
      </c>
      <c r="AH37" s="455">
        <f t="shared" ref="AH37" si="179">AH36</f>
        <v>247500</v>
      </c>
      <c r="AI37" s="455">
        <f t="shared" ref="AI37" si="180">AI36</f>
        <v>261000</v>
      </c>
      <c r="AJ37" s="455">
        <f t="shared" ref="AJ37" si="181">AJ36</f>
        <v>274500</v>
      </c>
      <c r="AK37" s="455">
        <f t="shared" ref="AK37" si="182">AK36</f>
        <v>288000</v>
      </c>
      <c r="AL37" s="455">
        <f t="shared" ref="AL37" si="183">AL36</f>
        <v>301500</v>
      </c>
      <c r="AM37" s="455">
        <f t="shared" ref="AM37" si="184">AM36</f>
        <v>315000</v>
      </c>
      <c r="AN37" s="455">
        <f t="shared" ref="AN37" si="185">AN36</f>
        <v>331500</v>
      </c>
      <c r="AO37" s="455">
        <f t="shared" ref="AO37" si="186">AO36</f>
        <v>348000</v>
      </c>
      <c r="AP37" s="455">
        <f t="shared" ref="AP37" si="187">AP36</f>
        <v>364500</v>
      </c>
      <c r="AQ37" s="455">
        <f t="shared" ref="AQ37" si="188">AQ36</f>
        <v>381000</v>
      </c>
      <c r="AR37" s="455">
        <f t="shared" ref="AR37" si="189">AR36</f>
        <v>397500</v>
      </c>
      <c r="AS37" s="455">
        <f t="shared" ref="AS37" si="190">AS36</f>
        <v>414000</v>
      </c>
      <c r="AT37" s="455">
        <f t="shared" ref="AT37" si="191">AT36</f>
        <v>430500</v>
      </c>
      <c r="AU37" s="455">
        <f t="shared" ref="AU37" si="192">AU36</f>
        <v>447000</v>
      </c>
      <c r="AV37" s="455">
        <f t="shared" ref="AV37" si="193">AV36</f>
        <v>463500</v>
      </c>
      <c r="AW37" s="455">
        <f t="shared" ref="AW37" si="194">AW36</f>
        <v>480000</v>
      </c>
      <c r="AX37" s="455">
        <f t="shared" ref="AX37" si="195">AX36</f>
        <v>496500</v>
      </c>
    </row>
    <row r="38" spans="1:50" s="11" customFormat="1">
      <c r="A38" s="65"/>
      <c r="B38" s="130"/>
      <c r="C38" s="130"/>
      <c r="D38" s="130"/>
      <c r="E38" s="130"/>
      <c r="F38" s="130"/>
      <c r="G38" s="130"/>
      <c r="H38" s="148"/>
      <c r="I38" s="51"/>
      <c r="J38" s="52"/>
      <c r="K38" s="52"/>
      <c r="L38" s="52"/>
      <c r="M38" s="52"/>
      <c r="N38" s="190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24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24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</row>
    <row r="39" spans="1:50" s="11" customFormat="1">
      <c r="A39" s="65"/>
      <c r="B39" s="130"/>
      <c r="C39" s="130"/>
      <c r="D39" s="130"/>
      <c r="E39" s="130"/>
      <c r="F39" s="130"/>
      <c r="G39" s="130"/>
      <c r="H39" s="148"/>
      <c r="I39" s="51"/>
      <c r="J39" s="52"/>
      <c r="K39" s="52"/>
      <c r="L39" s="52"/>
      <c r="M39" s="52"/>
      <c r="N39" s="190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24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24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</row>
    <row r="40" spans="1:50" s="11" customFormat="1">
      <c r="A40" s="65"/>
      <c r="B40" s="130"/>
      <c r="C40" s="130"/>
      <c r="D40" s="130"/>
      <c r="E40" s="130"/>
      <c r="F40" s="130"/>
      <c r="G40" s="130"/>
      <c r="H40" s="148"/>
      <c r="I40" s="45" t="s">
        <v>531</v>
      </c>
      <c r="J40" s="52">
        <f>J29</f>
        <v>2026</v>
      </c>
      <c r="K40" s="52">
        <f>K29</f>
        <v>2027</v>
      </c>
      <c r="L40" s="52">
        <f>L29</f>
        <v>2028</v>
      </c>
      <c r="M40" s="52">
        <f>M29</f>
        <v>2029</v>
      </c>
      <c r="N40" s="52">
        <f>N29</f>
        <v>2030</v>
      </c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24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24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</row>
    <row r="41" spans="1:50" s="11" customFormat="1" ht="16">
      <c r="A41" s="65"/>
      <c r="B41" s="55" t="s">
        <v>540</v>
      </c>
      <c r="C41" s="55">
        <f>O41</f>
        <v>20</v>
      </c>
      <c r="D41" s="55">
        <f>C44</f>
        <v>48</v>
      </c>
      <c r="E41" s="55">
        <f t="shared" ref="E41:F41" si="196">D44</f>
        <v>54</v>
      </c>
      <c r="F41" s="55">
        <f t="shared" si="196"/>
        <v>54</v>
      </c>
      <c r="G41" s="55"/>
      <c r="H41" s="148"/>
      <c r="I41" s="47" t="s">
        <v>527</v>
      </c>
      <c r="J41" s="48" t="s">
        <v>530</v>
      </c>
      <c r="K41" s="48" t="s">
        <v>530</v>
      </c>
      <c r="L41" s="48" t="s">
        <v>530</v>
      </c>
      <c r="M41" s="48" t="s">
        <v>530</v>
      </c>
      <c r="N41" s="48" t="s">
        <v>530</v>
      </c>
      <c r="O41" s="453">
        <v>20</v>
      </c>
      <c r="P41" s="454">
        <f>O44</f>
        <v>23</v>
      </c>
      <c r="Q41" s="454">
        <f t="shared" ref="Q41:Z41" si="197">P44</f>
        <v>26</v>
      </c>
      <c r="R41" s="454">
        <f t="shared" si="197"/>
        <v>29</v>
      </c>
      <c r="S41" s="454">
        <f t="shared" si="197"/>
        <v>32</v>
      </c>
      <c r="T41" s="454">
        <f t="shared" si="197"/>
        <v>34</v>
      </c>
      <c r="U41" s="454">
        <f t="shared" si="197"/>
        <v>36</v>
      </c>
      <c r="V41" s="454">
        <f t="shared" si="197"/>
        <v>38</v>
      </c>
      <c r="W41" s="454">
        <f t="shared" si="197"/>
        <v>40</v>
      </c>
      <c r="X41" s="454">
        <f t="shared" si="197"/>
        <v>42</v>
      </c>
      <c r="Y41" s="454">
        <f t="shared" si="197"/>
        <v>44</v>
      </c>
      <c r="Z41" s="454">
        <f t="shared" si="197"/>
        <v>46</v>
      </c>
      <c r="AA41" s="454">
        <f t="shared" ref="AA41" si="198">Z44</f>
        <v>48</v>
      </c>
      <c r="AB41" s="454">
        <f t="shared" ref="AB41" si="199">AA44</f>
        <v>54</v>
      </c>
      <c r="AC41" s="454">
        <f t="shared" ref="AC41" si="200">AB44</f>
        <v>60</v>
      </c>
      <c r="AD41" s="454">
        <f t="shared" ref="AD41" si="201">AC44</f>
        <v>66</v>
      </c>
      <c r="AE41" s="454">
        <f t="shared" ref="AE41" si="202">AD44</f>
        <v>72</v>
      </c>
      <c r="AF41" s="454">
        <f t="shared" ref="AF41" si="203">AE44</f>
        <v>78</v>
      </c>
      <c r="AG41" s="454">
        <f t="shared" ref="AG41" si="204">AF44</f>
        <v>84</v>
      </c>
      <c r="AH41" s="454">
        <f t="shared" ref="AH41" si="205">AG44</f>
        <v>90</v>
      </c>
      <c r="AI41" s="454">
        <f t="shared" ref="AI41" si="206">AH44</f>
        <v>95</v>
      </c>
      <c r="AJ41" s="454">
        <f t="shared" ref="AJ41" si="207">AI44</f>
        <v>100</v>
      </c>
      <c r="AK41" s="454">
        <f t="shared" ref="AK41" si="208">AJ44</f>
        <v>105</v>
      </c>
      <c r="AL41" s="454">
        <f t="shared" ref="AL41" si="209">AK44</f>
        <v>110</v>
      </c>
      <c r="AM41" s="454">
        <f t="shared" ref="AM41" si="210">AL44</f>
        <v>115</v>
      </c>
      <c r="AN41" s="454">
        <f t="shared" ref="AN41" si="211">AM44</f>
        <v>123</v>
      </c>
      <c r="AO41" s="454">
        <f t="shared" ref="AO41" si="212">AN44</f>
        <v>131</v>
      </c>
      <c r="AP41" s="454">
        <f t="shared" ref="AP41" si="213">AO44</f>
        <v>139</v>
      </c>
      <c r="AQ41" s="454">
        <f t="shared" ref="AQ41" si="214">AP44</f>
        <v>147</v>
      </c>
      <c r="AR41" s="454">
        <f t="shared" ref="AR41" si="215">AQ44</f>
        <v>155</v>
      </c>
      <c r="AS41" s="454">
        <f t="shared" ref="AS41" si="216">AR44</f>
        <v>162</v>
      </c>
      <c r="AT41" s="454">
        <f t="shared" ref="AT41" si="217">AS44</f>
        <v>169</v>
      </c>
      <c r="AU41" s="454">
        <f t="shared" ref="AU41" si="218">AT44</f>
        <v>176</v>
      </c>
      <c r="AV41" s="454">
        <f t="shared" ref="AV41" si="219">AU44</f>
        <v>183</v>
      </c>
      <c r="AW41" s="454">
        <f t="shared" ref="AW41" si="220">AV44</f>
        <v>190</v>
      </c>
      <c r="AX41" s="454">
        <f t="shared" ref="AX41" si="221">AW44</f>
        <v>197</v>
      </c>
    </row>
    <row r="42" spans="1:50" s="11" customFormat="1" ht="16">
      <c r="A42" s="65"/>
      <c r="B42" s="55" t="s">
        <v>541</v>
      </c>
      <c r="C42" s="44">
        <f>SUMIF(O15:Z15,C$15,O42:Z42)</f>
        <v>36</v>
      </c>
      <c r="D42" s="44">
        <f>SUMIF(P15:AA15,D$15,P42:AA42)</f>
        <v>7</v>
      </c>
      <c r="E42" s="44">
        <f>SUMIF(Q15:AB15,E$15,Q42:AB42)</f>
        <v>0</v>
      </c>
      <c r="F42" s="44">
        <f>SUMIF(R15:AC15,F$15,R42:AC42)</f>
        <v>0</v>
      </c>
      <c r="G42" s="55"/>
      <c r="H42" s="148"/>
      <c r="I42" s="47" t="s">
        <v>528</v>
      </c>
      <c r="J42" s="49">
        <v>3</v>
      </c>
      <c r="K42" s="49">
        <v>7</v>
      </c>
      <c r="L42" s="49">
        <v>10</v>
      </c>
      <c r="M42" s="49">
        <v>20</v>
      </c>
      <c r="N42" s="49">
        <v>21</v>
      </c>
      <c r="O42" s="454">
        <f>IF(OR(AND(HLOOKUP(O$15,$J$40:$N$43,2,1)="Quarterly",MOD(Assumptions!$C$11,3)=0),AND(HLOOKUP(O$15,$J$40:$N$43,2,1)="Annually",MOD(Assumptions!$C$11,12)=0),HLOOKUP(O$15,$J$40:$N$43,2,1)="Monthly"),HLOOKUP(O$15,$J$40:$N$43,3,1),0)</f>
        <v>3</v>
      </c>
      <c r="P42" s="454">
        <f>IF(OR(AND(HLOOKUP(P$15,$J$40:$N$43,2,1)="Quarterly",MOD(Assumptions!$C$11,3)=0),AND(HLOOKUP(P$15,$J$40:$N$43,2,1)="Annually",MOD(Assumptions!$C$11,12)=0),HLOOKUP(P$15,$J$40:$N$43,2,1)="Monthly"),HLOOKUP(P$15,$J$40:$N$43,3,1),0)</f>
        <v>3</v>
      </c>
      <c r="Q42" s="454">
        <f>IF(OR(AND(HLOOKUP(Q$15,$J$40:$N$43,2,1)="Quarterly",MOD(Assumptions!$C$11,3)=0),AND(HLOOKUP(Q$15,$J$40:$N$43,2,1)="Annually",MOD(Assumptions!$C$11,12)=0),HLOOKUP(Q$15,$J$40:$N$43,2,1)="Monthly"),HLOOKUP(Q$15,$J$40:$N$43,3,1),0)</f>
        <v>3</v>
      </c>
      <c r="R42" s="454">
        <f>IF(OR(AND(HLOOKUP(R$15,$J$40:$N$43,2,1)="Quarterly",MOD(Assumptions!$C$11,3)=0),AND(HLOOKUP(R$15,$J$40:$N$43,2,1)="Annually",MOD(Assumptions!$C$11,12)=0),HLOOKUP(R$15,$J$40:$N$43,2,1)="Monthly"),HLOOKUP(R$15,$J$40:$N$43,3,1),0)</f>
        <v>3</v>
      </c>
      <c r="S42" s="454">
        <f>IF(OR(AND(HLOOKUP(S$15,$J$40:$N$43,2,1)="Quarterly",MOD(Assumptions!$C$11,3)=0),AND(HLOOKUP(S$15,$J$40:$N$43,2,1)="Annually",MOD(Assumptions!$C$11,12)=0),HLOOKUP(S$15,$J$40:$N$43,2,1)="Monthly"),HLOOKUP(S$15,$J$40:$N$43,3,1),0)</f>
        <v>3</v>
      </c>
      <c r="T42" s="454">
        <f>IF(OR(AND(HLOOKUP(T$15,$J$40:$N$43,2,1)="Quarterly",MOD(Assumptions!$C$11,3)=0),AND(HLOOKUP(T$15,$J$40:$N$43,2,1)="Annually",MOD(Assumptions!$C$11,12)=0),HLOOKUP(T$15,$J$40:$N$43,2,1)="Monthly"),HLOOKUP(T$15,$J$40:$N$43,3,1),0)</f>
        <v>3</v>
      </c>
      <c r="U42" s="454">
        <f>IF(OR(AND(HLOOKUP(U$15,$J$40:$N$43,2,1)="Quarterly",MOD(Assumptions!$C$11,3)=0),AND(HLOOKUP(U$15,$J$40:$N$43,2,1)="Annually",MOD(Assumptions!$C$11,12)=0),HLOOKUP(U$15,$J$40:$N$43,2,1)="Monthly"),HLOOKUP(U$15,$J$40:$N$43,3,1),0)</f>
        <v>3</v>
      </c>
      <c r="V42" s="454">
        <f>IF(OR(AND(HLOOKUP(V$15,$J$40:$N$43,2,1)="Quarterly",MOD(Assumptions!$C$11,3)=0),AND(HLOOKUP(V$15,$J$40:$N$43,2,1)="Annually",MOD(Assumptions!$C$11,12)=0),HLOOKUP(V$15,$J$40:$N$43,2,1)="Monthly"),HLOOKUP(V$15,$J$40:$N$43,3,1),0)</f>
        <v>3</v>
      </c>
      <c r="W42" s="454">
        <f>IF(OR(AND(HLOOKUP(W$15,$J$40:$N$43,2,1)="Quarterly",MOD(Assumptions!$C$11,3)=0),AND(HLOOKUP(W$15,$J$40:$N$43,2,1)="Annually",MOD(Assumptions!$C$11,12)=0),HLOOKUP(W$15,$J$40:$N$43,2,1)="Monthly"),HLOOKUP(W$15,$J$40:$N$43,3,1),0)</f>
        <v>3</v>
      </c>
      <c r="X42" s="454">
        <f>IF(OR(AND(HLOOKUP(X$15,$J$40:$N$43,2,1)="Quarterly",MOD(Assumptions!$C$11,3)=0),AND(HLOOKUP(X$15,$J$40:$N$43,2,1)="Annually",MOD(Assumptions!$C$11,12)=0),HLOOKUP(X$15,$J$40:$N$43,2,1)="Monthly"),HLOOKUP(X$15,$J$40:$N$43,3,1),0)</f>
        <v>3</v>
      </c>
      <c r="Y42" s="454">
        <f>IF(OR(AND(HLOOKUP(Y$15,$J$40:$N$43,2,1)="Quarterly",MOD(Assumptions!$C$11,3)=0),AND(HLOOKUP(Y$15,$J$40:$N$43,2,1)="Annually",MOD(Assumptions!$C$11,12)=0),HLOOKUP(Y$15,$J$40:$N$43,2,1)="Monthly"),HLOOKUP(Y$15,$J$40:$N$43,3,1),0)</f>
        <v>3</v>
      </c>
      <c r="Z42" s="454">
        <f>IF(OR(AND(HLOOKUP(Z$15,$J$40:$N$43,2,1)="Quarterly",MOD(Assumptions!$C$11,3)=0),AND(HLOOKUP(Z$15,$J$40:$N$43,2,1)="Annually",MOD(Assumptions!$C$11,12)=0),HLOOKUP(Z$15,$J$40:$N$43,2,1)="Monthly"),HLOOKUP(Z$15,$J$40:$N$43,3,1),0)</f>
        <v>3</v>
      </c>
      <c r="AA42" s="454">
        <f>IF(OR(AND(HLOOKUP(AA$15,$J$40:$N$43,2,1)="Quarterly",MOD(Assumptions!$C$11,3)=0),AND(HLOOKUP(AA$15,$J$40:$N$43,2,1)="Annually",MOD(Assumptions!$C$11,12)=0),HLOOKUP(AA$15,$J$40:$N$43,2,1)="Monthly"),HLOOKUP(AA$15,$J$40:$N$43,3,1),0)</f>
        <v>7</v>
      </c>
      <c r="AB42" s="454">
        <f>IF(OR(AND(HLOOKUP(AB$15,$J$40:$N$43,2,1)="Quarterly",MOD(Assumptions!$C$11,3)=0),AND(HLOOKUP(AB$15,$J$40:$N$43,2,1)="Annually",MOD(Assumptions!$C$11,12)=0),HLOOKUP(AB$15,$J$40:$N$43,2,1)="Monthly"),HLOOKUP(AB$15,$J$40:$N$43,3,1),0)</f>
        <v>7</v>
      </c>
      <c r="AC42" s="454">
        <f>IF(OR(AND(HLOOKUP(AC$15,$J$40:$N$43,2,1)="Quarterly",MOD(Assumptions!$C$11,3)=0),AND(HLOOKUP(AC$15,$J$40:$N$43,2,1)="Annually",MOD(Assumptions!$C$11,12)=0),HLOOKUP(AC$15,$J$40:$N$43,2,1)="Monthly"),HLOOKUP(AC$15,$J$40:$N$43,3,1),0)</f>
        <v>7</v>
      </c>
      <c r="AD42" s="454">
        <f>IF(OR(AND(HLOOKUP(AD$15,$J$40:$N$43,2,1)="Quarterly",MOD(Assumptions!$C$11,3)=0),AND(HLOOKUP(AD$15,$J$40:$N$43,2,1)="Annually",MOD(Assumptions!$C$11,12)=0),HLOOKUP(AD$15,$J$40:$N$43,2,1)="Monthly"),HLOOKUP(AD$15,$J$40:$N$43,3,1),0)</f>
        <v>7</v>
      </c>
      <c r="AE42" s="454">
        <f>IF(OR(AND(HLOOKUP(AE$15,$J$40:$N$43,2,1)="Quarterly",MOD(Assumptions!$C$11,3)=0),AND(HLOOKUP(AE$15,$J$40:$N$43,2,1)="Annually",MOD(Assumptions!$C$11,12)=0),HLOOKUP(AE$15,$J$40:$N$43,2,1)="Monthly"),HLOOKUP(AE$15,$J$40:$N$43,3,1),0)</f>
        <v>7</v>
      </c>
      <c r="AF42" s="454">
        <f>IF(OR(AND(HLOOKUP(AF$15,$J$40:$N$43,2,1)="Quarterly",MOD(Assumptions!$C$11,3)=0),AND(HLOOKUP(AF$15,$J$40:$N$43,2,1)="Annually",MOD(Assumptions!$C$11,12)=0),HLOOKUP(AF$15,$J$40:$N$43,2,1)="Monthly"),HLOOKUP(AF$15,$J$40:$N$43,3,1),0)</f>
        <v>7</v>
      </c>
      <c r="AG42" s="454">
        <f>IF(OR(AND(HLOOKUP(AG$15,$J$40:$N$43,2,1)="Quarterly",MOD(Assumptions!$C$11,3)=0),AND(HLOOKUP(AG$15,$J$40:$N$43,2,1)="Annually",MOD(Assumptions!$C$11,12)=0),HLOOKUP(AG$15,$J$40:$N$43,2,1)="Monthly"),HLOOKUP(AG$15,$J$40:$N$43,3,1),0)</f>
        <v>7</v>
      </c>
      <c r="AH42" s="454">
        <f>IF(OR(AND(HLOOKUP(AH$15,$J$40:$N$43,2,1)="Quarterly",MOD(Assumptions!$C$11,3)=0),AND(HLOOKUP(AH$15,$J$40:$N$43,2,1)="Annually",MOD(Assumptions!$C$11,12)=0),HLOOKUP(AH$15,$J$40:$N$43,2,1)="Monthly"),HLOOKUP(AH$15,$J$40:$N$43,3,1),0)</f>
        <v>7</v>
      </c>
      <c r="AI42" s="454">
        <f>IF(OR(AND(HLOOKUP(AI$15,$J$40:$N$43,2,1)="Quarterly",MOD(Assumptions!$C$11,3)=0),AND(HLOOKUP(AI$15,$J$40:$N$43,2,1)="Annually",MOD(Assumptions!$C$11,12)=0),HLOOKUP(AI$15,$J$40:$N$43,2,1)="Monthly"),HLOOKUP(AI$15,$J$40:$N$43,3,1),0)</f>
        <v>7</v>
      </c>
      <c r="AJ42" s="454">
        <f>IF(OR(AND(HLOOKUP(AJ$15,$J$40:$N$43,2,1)="Quarterly",MOD(Assumptions!$C$11,3)=0),AND(HLOOKUP(AJ$15,$J$40:$N$43,2,1)="Annually",MOD(Assumptions!$C$11,12)=0),HLOOKUP(AJ$15,$J$40:$N$43,2,1)="Monthly"),HLOOKUP(AJ$15,$J$40:$N$43,3,1),0)</f>
        <v>7</v>
      </c>
      <c r="AK42" s="454">
        <f>IF(OR(AND(HLOOKUP(AK$15,$J$40:$N$43,2,1)="Quarterly",MOD(Assumptions!$C$11,3)=0),AND(HLOOKUP(AK$15,$J$40:$N$43,2,1)="Annually",MOD(Assumptions!$C$11,12)=0),HLOOKUP(AK$15,$J$40:$N$43,2,1)="Monthly"),HLOOKUP(AK$15,$J$40:$N$43,3,1),0)</f>
        <v>7</v>
      </c>
      <c r="AL42" s="454">
        <f>IF(OR(AND(HLOOKUP(AL$15,$J$40:$N$43,2,1)="Quarterly",MOD(Assumptions!$C$11,3)=0),AND(HLOOKUP(AL$15,$J$40:$N$43,2,1)="Annually",MOD(Assumptions!$C$11,12)=0),HLOOKUP(AL$15,$J$40:$N$43,2,1)="Monthly"),HLOOKUP(AL$15,$J$40:$N$43,3,1),0)</f>
        <v>7</v>
      </c>
      <c r="AM42" s="454">
        <f>IF(OR(AND(HLOOKUP(AM$15,$J$40:$N$43,2,1)="Quarterly",MOD(Assumptions!$C$11,3)=0),AND(HLOOKUP(AM$15,$J$40:$N$43,2,1)="Annually",MOD(Assumptions!$C$11,12)=0),HLOOKUP(AM$15,$J$40:$N$43,2,1)="Monthly"),HLOOKUP(AM$15,$J$40:$N$43,3,1),0)</f>
        <v>10</v>
      </c>
      <c r="AN42" s="454">
        <f>IF(OR(AND(HLOOKUP(AN$15,$J$40:$N$43,2,1)="Quarterly",MOD(Assumptions!$C$11,3)=0),AND(HLOOKUP(AN$15,$J$40:$N$43,2,1)="Annually",MOD(Assumptions!$C$11,12)=0),HLOOKUP(AN$15,$J$40:$N$43,2,1)="Monthly"),HLOOKUP(AN$15,$J$40:$N$43,3,1),0)</f>
        <v>10</v>
      </c>
      <c r="AO42" s="454">
        <f>IF(OR(AND(HLOOKUP(AO$15,$J$40:$N$43,2,1)="Quarterly",MOD(Assumptions!$C$11,3)=0),AND(HLOOKUP(AO$15,$J$40:$N$43,2,1)="Annually",MOD(Assumptions!$C$11,12)=0),HLOOKUP(AO$15,$J$40:$N$43,2,1)="Monthly"),HLOOKUP(AO$15,$J$40:$N$43,3,1),0)</f>
        <v>10</v>
      </c>
      <c r="AP42" s="454">
        <f>IF(OR(AND(HLOOKUP(AP$15,$J$40:$N$43,2,1)="Quarterly",MOD(Assumptions!$C$11,3)=0),AND(HLOOKUP(AP$15,$J$40:$N$43,2,1)="Annually",MOD(Assumptions!$C$11,12)=0),HLOOKUP(AP$15,$J$40:$N$43,2,1)="Monthly"),HLOOKUP(AP$15,$J$40:$N$43,3,1),0)</f>
        <v>10</v>
      </c>
      <c r="AQ42" s="454">
        <f>IF(OR(AND(HLOOKUP(AQ$15,$J$40:$N$43,2,1)="Quarterly",MOD(Assumptions!$C$11,3)=0),AND(HLOOKUP(AQ$15,$J$40:$N$43,2,1)="Annually",MOD(Assumptions!$C$11,12)=0),HLOOKUP(AQ$15,$J$40:$N$43,2,1)="Monthly"),HLOOKUP(AQ$15,$J$40:$N$43,3,1),0)</f>
        <v>10</v>
      </c>
      <c r="AR42" s="454">
        <f>IF(OR(AND(HLOOKUP(AR$15,$J$40:$N$43,2,1)="Quarterly",MOD(Assumptions!$C$11,3)=0),AND(HLOOKUP(AR$15,$J$40:$N$43,2,1)="Annually",MOD(Assumptions!$C$11,12)=0),HLOOKUP(AR$15,$J$40:$N$43,2,1)="Monthly"),HLOOKUP(AR$15,$J$40:$N$43,3,1),0)</f>
        <v>10</v>
      </c>
      <c r="AS42" s="454">
        <f>IF(OR(AND(HLOOKUP(AS$15,$J$40:$N$43,2,1)="Quarterly",MOD(Assumptions!$C$11,3)=0),AND(HLOOKUP(AS$15,$J$40:$N$43,2,1)="Annually",MOD(Assumptions!$C$11,12)=0),HLOOKUP(AS$15,$J$40:$N$43,2,1)="Monthly"),HLOOKUP(AS$15,$J$40:$N$43,3,1),0)</f>
        <v>10</v>
      </c>
      <c r="AT42" s="454">
        <f>IF(OR(AND(HLOOKUP(AT$15,$J$40:$N$43,2,1)="Quarterly",MOD(Assumptions!$C$11,3)=0),AND(HLOOKUP(AT$15,$J$40:$N$43,2,1)="Annually",MOD(Assumptions!$C$11,12)=0),HLOOKUP(AT$15,$J$40:$N$43,2,1)="Monthly"),HLOOKUP(AT$15,$J$40:$N$43,3,1),0)</f>
        <v>10</v>
      </c>
      <c r="AU42" s="454">
        <f>IF(OR(AND(HLOOKUP(AU$15,$J$40:$N$43,2,1)="Quarterly",MOD(Assumptions!$C$11,3)=0),AND(HLOOKUP(AU$15,$J$40:$N$43,2,1)="Annually",MOD(Assumptions!$C$11,12)=0),HLOOKUP(AU$15,$J$40:$N$43,2,1)="Monthly"),HLOOKUP(AU$15,$J$40:$N$43,3,1),0)</f>
        <v>10</v>
      </c>
      <c r="AV42" s="454">
        <f>IF(OR(AND(HLOOKUP(AV$15,$J$40:$N$43,2,1)="Quarterly",MOD(Assumptions!$C$11,3)=0),AND(HLOOKUP(AV$15,$J$40:$N$43,2,1)="Annually",MOD(Assumptions!$C$11,12)=0),HLOOKUP(AV$15,$J$40:$N$43,2,1)="Monthly"),HLOOKUP(AV$15,$J$40:$N$43,3,1),0)</f>
        <v>10</v>
      </c>
      <c r="AW42" s="454">
        <f>IF(OR(AND(HLOOKUP(AW$15,$J$40:$N$43,2,1)="Quarterly",MOD(Assumptions!$C$11,3)=0),AND(HLOOKUP(AW$15,$J$40:$N$43,2,1)="Annually",MOD(Assumptions!$C$11,12)=0),HLOOKUP(AW$15,$J$40:$N$43,2,1)="Monthly"),HLOOKUP(AW$15,$J$40:$N$43,3,1),0)</f>
        <v>10</v>
      </c>
      <c r="AX42" s="454">
        <f>IF(OR(AND(HLOOKUP(AX$15,$J$40:$N$43,2,1)="Quarterly",MOD(Assumptions!$C$11,3)=0),AND(HLOOKUP(AX$15,$J$40:$N$43,2,1)="Annually",MOD(Assumptions!$C$11,12)=0),HLOOKUP(AX$15,$J$40:$N$43,2,1)="Monthly"),HLOOKUP(AX$15,$J$40:$N$43,3,1),0)</f>
        <v>10</v>
      </c>
    </row>
    <row r="43" spans="1:50" s="11" customFormat="1" ht="16">
      <c r="A43" s="65"/>
      <c r="B43" s="55" t="s">
        <v>542</v>
      </c>
      <c r="C43" s="44">
        <f>SUMIF(O15:Z15,C$15,O43:Z43)</f>
        <v>-8</v>
      </c>
      <c r="D43" s="44">
        <f>SUMIF(P15:AA15,D$15,P43:AA43)</f>
        <v>-1</v>
      </c>
      <c r="E43" s="44">
        <f>SUMIF(Q15:AB15,E$15,Q43:AB43)</f>
        <v>0</v>
      </c>
      <c r="F43" s="44">
        <f>SUMIF(R15:AC15,F$15,R43:AC43)</f>
        <v>0</v>
      </c>
      <c r="G43" s="55"/>
      <c r="H43" s="148"/>
      <c r="I43" s="47" t="s">
        <v>529</v>
      </c>
      <c r="J43" s="50">
        <v>0.2</v>
      </c>
      <c r="K43" s="50">
        <v>0.2</v>
      </c>
      <c r="L43" s="50">
        <v>0.2</v>
      </c>
      <c r="M43" s="50">
        <v>0.2</v>
      </c>
      <c r="N43" s="50">
        <v>0.2</v>
      </c>
      <c r="O43" s="454">
        <f>-ROUND(O41*HLOOKUP(O$15,$J$40:$N$43,4,1)/12,0)</f>
        <v>0</v>
      </c>
      <c r="P43" s="454">
        <f t="shared" ref="P43:AX43" si="222">-ROUND(P41*HLOOKUP(P$15,$J$40:$N$43,4,1)/12,0)</f>
        <v>0</v>
      </c>
      <c r="Q43" s="454">
        <f t="shared" si="222"/>
        <v>0</v>
      </c>
      <c r="R43" s="454">
        <f t="shared" si="222"/>
        <v>0</v>
      </c>
      <c r="S43" s="454">
        <f t="shared" si="222"/>
        <v>-1</v>
      </c>
      <c r="T43" s="454">
        <f t="shared" si="222"/>
        <v>-1</v>
      </c>
      <c r="U43" s="454">
        <f t="shared" si="222"/>
        <v>-1</v>
      </c>
      <c r="V43" s="454">
        <f t="shared" si="222"/>
        <v>-1</v>
      </c>
      <c r="W43" s="454">
        <f t="shared" si="222"/>
        <v>-1</v>
      </c>
      <c r="X43" s="454">
        <f t="shared" si="222"/>
        <v>-1</v>
      </c>
      <c r="Y43" s="454">
        <f t="shared" si="222"/>
        <v>-1</v>
      </c>
      <c r="Z43" s="454">
        <f t="shared" si="222"/>
        <v>-1</v>
      </c>
      <c r="AA43" s="454">
        <f t="shared" si="222"/>
        <v>-1</v>
      </c>
      <c r="AB43" s="454">
        <f>-ROUND(AB41*HLOOKUP(AB$15,$J$40:$N$43,4,1)/12,0)</f>
        <v>-1</v>
      </c>
      <c r="AC43" s="454">
        <f t="shared" si="222"/>
        <v>-1</v>
      </c>
      <c r="AD43" s="454">
        <f t="shared" si="222"/>
        <v>-1</v>
      </c>
      <c r="AE43" s="454">
        <f t="shared" si="222"/>
        <v>-1</v>
      </c>
      <c r="AF43" s="454">
        <f t="shared" si="222"/>
        <v>-1</v>
      </c>
      <c r="AG43" s="454">
        <f t="shared" si="222"/>
        <v>-1</v>
      </c>
      <c r="AH43" s="454">
        <f t="shared" si="222"/>
        <v>-2</v>
      </c>
      <c r="AI43" s="454">
        <f t="shared" si="222"/>
        <v>-2</v>
      </c>
      <c r="AJ43" s="454">
        <f t="shared" si="222"/>
        <v>-2</v>
      </c>
      <c r="AK43" s="454">
        <f t="shared" si="222"/>
        <v>-2</v>
      </c>
      <c r="AL43" s="454">
        <f t="shared" si="222"/>
        <v>-2</v>
      </c>
      <c r="AM43" s="454">
        <f t="shared" si="222"/>
        <v>-2</v>
      </c>
      <c r="AN43" s="454">
        <f t="shared" si="222"/>
        <v>-2</v>
      </c>
      <c r="AO43" s="454">
        <f t="shared" si="222"/>
        <v>-2</v>
      </c>
      <c r="AP43" s="454">
        <f t="shared" si="222"/>
        <v>-2</v>
      </c>
      <c r="AQ43" s="454">
        <f t="shared" si="222"/>
        <v>-2</v>
      </c>
      <c r="AR43" s="454">
        <f t="shared" si="222"/>
        <v>-3</v>
      </c>
      <c r="AS43" s="454">
        <f t="shared" si="222"/>
        <v>-3</v>
      </c>
      <c r="AT43" s="454">
        <f t="shared" si="222"/>
        <v>-3</v>
      </c>
      <c r="AU43" s="454">
        <f t="shared" si="222"/>
        <v>-3</v>
      </c>
      <c r="AV43" s="454">
        <f t="shared" si="222"/>
        <v>-3</v>
      </c>
      <c r="AW43" s="454">
        <f t="shared" si="222"/>
        <v>-3</v>
      </c>
      <c r="AX43" s="454">
        <f t="shared" si="222"/>
        <v>-3</v>
      </c>
    </row>
    <row r="44" spans="1:50" s="11" customFormat="1" ht="16">
      <c r="A44" s="65"/>
      <c r="B44" s="55" t="s">
        <v>543</v>
      </c>
      <c r="C44" s="230">
        <f>SUM(C41:C43)</f>
        <v>48</v>
      </c>
      <c r="D44" s="230">
        <f t="shared" ref="D44:F44" si="223">SUM(D41:D43)</f>
        <v>54</v>
      </c>
      <c r="E44" s="230">
        <f t="shared" si="223"/>
        <v>54</v>
      </c>
      <c r="F44" s="230">
        <f t="shared" si="223"/>
        <v>54</v>
      </c>
      <c r="G44" s="55"/>
      <c r="H44" s="148"/>
      <c r="I44" s="51"/>
      <c r="J44" s="52"/>
      <c r="K44" s="52"/>
      <c r="L44" s="52"/>
      <c r="M44" s="52"/>
      <c r="N44" s="52"/>
      <c r="O44" s="455">
        <f>SUM(O41:O43)</f>
        <v>23</v>
      </c>
      <c r="P44" s="455">
        <f t="shared" ref="P44:Z44" si="224">SUM(P41:P43)</f>
        <v>26</v>
      </c>
      <c r="Q44" s="455">
        <f t="shared" si="224"/>
        <v>29</v>
      </c>
      <c r="R44" s="455">
        <f>SUM(R41:R43)</f>
        <v>32</v>
      </c>
      <c r="S44" s="455">
        <f t="shared" si="224"/>
        <v>34</v>
      </c>
      <c r="T44" s="455">
        <f t="shared" si="224"/>
        <v>36</v>
      </c>
      <c r="U44" s="455">
        <f t="shared" si="224"/>
        <v>38</v>
      </c>
      <c r="V44" s="455">
        <f t="shared" si="224"/>
        <v>40</v>
      </c>
      <c r="W44" s="455">
        <f t="shared" si="224"/>
        <v>42</v>
      </c>
      <c r="X44" s="455">
        <f t="shared" si="224"/>
        <v>44</v>
      </c>
      <c r="Y44" s="455">
        <f t="shared" si="224"/>
        <v>46</v>
      </c>
      <c r="Z44" s="455">
        <f t="shared" si="224"/>
        <v>48</v>
      </c>
      <c r="AA44" s="455">
        <f t="shared" ref="AA44:AC44" si="225">SUM(AA41:AA43)</f>
        <v>54</v>
      </c>
      <c r="AB44" s="455">
        <f t="shared" si="225"/>
        <v>60</v>
      </c>
      <c r="AC44" s="455">
        <f t="shared" si="225"/>
        <v>66</v>
      </c>
      <c r="AD44" s="455">
        <f t="shared" ref="AD44:AJ44" si="226">SUM(AD41:AD43)</f>
        <v>72</v>
      </c>
      <c r="AE44" s="455">
        <f t="shared" si="226"/>
        <v>78</v>
      </c>
      <c r="AF44" s="455">
        <f t="shared" si="226"/>
        <v>84</v>
      </c>
      <c r="AG44" s="455">
        <f t="shared" si="226"/>
        <v>90</v>
      </c>
      <c r="AH44" s="455">
        <f t="shared" si="226"/>
        <v>95</v>
      </c>
      <c r="AI44" s="455">
        <f t="shared" si="226"/>
        <v>100</v>
      </c>
      <c r="AJ44" s="455">
        <f t="shared" si="226"/>
        <v>105</v>
      </c>
      <c r="AK44" s="455">
        <f t="shared" ref="AK44:AL44" si="227">SUM(AK41:AK43)</f>
        <v>110</v>
      </c>
      <c r="AL44" s="455">
        <f t="shared" si="227"/>
        <v>115</v>
      </c>
      <c r="AM44" s="455">
        <f t="shared" ref="AM44:AV44" si="228">SUM(AM41:AM43)</f>
        <v>123</v>
      </c>
      <c r="AN44" s="455">
        <f t="shared" si="228"/>
        <v>131</v>
      </c>
      <c r="AO44" s="455">
        <f t="shared" si="228"/>
        <v>139</v>
      </c>
      <c r="AP44" s="455">
        <f t="shared" si="228"/>
        <v>147</v>
      </c>
      <c r="AQ44" s="455">
        <f t="shared" si="228"/>
        <v>155</v>
      </c>
      <c r="AR44" s="455">
        <f t="shared" si="228"/>
        <v>162</v>
      </c>
      <c r="AS44" s="455">
        <f t="shared" si="228"/>
        <v>169</v>
      </c>
      <c r="AT44" s="455">
        <f t="shared" si="228"/>
        <v>176</v>
      </c>
      <c r="AU44" s="455">
        <f t="shared" si="228"/>
        <v>183</v>
      </c>
      <c r="AV44" s="455">
        <f t="shared" si="228"/>
        <v>190</v>
      </c>
      <c r="AW44" s="455">
        <f t="shared" ref="AW44:AX44" si="229">SUM(AW41:AW43)</f>
        <v>197</v>
      </c>
      <c r="AX44" s="455">
        <f t="shared" si="229"/>
        <v>204</v>
      </c>
    </row>
    <row r="45" spans="1:50" s="11" customFormat="1">
      <c r="A45" s="65"/>
      <c r="B45" s="57"/>
      <c r="C45" s="57"/>
      <c r="D45" s="57"/>
      <c r="E45" s="57"/>
      <c r="F45" s="57"/>
      <c r="G45" s="57"/>
      <c r="H45" s="218"/>
      <c r="I45" s="51"/>
      <c r="J45" s="52"/>
      <c r="K45" s="52"/>
      <c r="L45" s="52"/>
      <c r="M45" s="52"/>
      <c r="N45" s="52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244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244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</row>
    <row r="46" spans="1:50" s="23" customFormat="1" ht="19.25" customHeight="1">
      <c r="A46" s="192"/>
      <c r="B46" s="44"/>
      <c r="C46" s="54"/>
      <c r="D46" s="54"/>
      <c r="E46" s="54"/>
      <c r="F46" s="54"/>
      <c r="G46" s="44"/>
      <c r="H46" s="218"/>
      <c r="I46" s="212" t="s">
        <v>578</v>
      </c>
      <c r="J46" s="49">
        <v>5000</v>
      </c>
      <c r="K46" s="49">
        <v>5000</v>
      </c>
      <c r="L46" s="49">
        <v>5000</v>
      </c>
      <c r="M46" s="49">
        <v>5000</v>
      </c>
      <c r="N46" s="49">
        <v>5000</v>
      </c>
      <c r="O46" s="454" cm="1">
        <f t="array" ref="O46">INDEX($J46:$N46,O14)/12</f>
        <v>416.66666666666669</v>
      </c>
      <c r="P46" s="454" cm="1">
        <f t="array" ref="P46">INDEX($J46:$N46,P14)/12</f>
        <v>416.66666666666669</v>
      </c>
      <c r="Q46" s="454" cm="1">
        <f t="array" ref="Q46">INDEX($J46:$N46,Q14)/12</f>
        <v>416.66666666666669</v>
      </c>
      <c r="R46" s="454" cm="1">
        <f t="array" ref="R46">INDEX($J46:$N46,R14)/12</f>
        <v>416.66666666666669</v>
      </c>
      <c r="S46" s="454" cm="1">
        <f t="array" ref="S46">INDEX($J46:$N46,S14)/12</f>
        <v>416.66666666666669</v>
      </c>
      <c r="T46" s="454" cm="1">
        <f t="array" ref="T46">INDEX($J46:$N46,T14)/12</f>
        <v>416.66666666666669</v>
      </c>
      <c r="U46" s="454" cm="1">
        <f t="array" ref="U46">INDEX($J46:$N46,U14)/12</f>
        <v>416.66666666666669</v>
      </c>
      <c r="V46" s="454" cm="1">
        <f t="array" ref="V46">INDEX($J46:$N46,V14)/12</f>
        <v>416.66666666666669</v>
      </c>
      <c r="W46" s="454" cm="1">
        <f t="array" ref="W46">INDEX($J46:$N46,W14)/12</f>
        <v>416.66666666666669</v>
      </c>
      <c r="X46" s="454" cm="1">
        <f t="array" ref="X46">INDEX($J46:$N46,X14)/12</f>
        <v>416.66666666666669</v>
      </c>
      <c r="Y46" s="454" cm="1">
        <f t="array" ref="Y46">INDEX($J46:$N46,Y14)/12</f>
        <v>416.66666666666669</v>
      </c>
      <c r="Z46" s="454" cm="1">
        <f t="array" ref="Z46">INDEX($J46:$N46,Z14)/12</f>
        <v>416.66666666666669</v>
      </c>
      <c r="AA46" s="454" cm="1">
        <f t="array" ref="AA46">INDEX($J46:$N46,AA14)/12</f>
        <v>416.66666666666669</v>
      </c>
      <c r="AB46" s="454" cm="1">
        <f t="array" ref="AB46">INDEX($J46:$N46,AB14)/12</f>
        <v>416.66666666666669</v>
      </c>
      <c r="AC46" s="454" cm="1">
        <f t="array" ref="AC46">INDEX($J46:$N46,AC14)/12</f>
        <v>416.66666666666669</v>
      </c>
      <c r="AD46" s="454" cm="1">
        <f t="array" ref="AD46">INDEX($J46:$N46,AD14)/12</f>
        <v>416.66666666666669</v>
      </c>
      <c r="AE46" s="454" cm="1">
        <f t="array" ref="AE46">INDEX($J46:$N46,AE14)/12</f>
        <v>416.66666666666669</v>
      </c>
      <c r="AF46" s="454" cm="1">
        <f t="array" ref="AF46">INDEX($J46:$N46,AF14)/12</f>
        <v>416.66666666666669</v>
      </c>
      <c r="AG46" s="454" cm="1">
        <f t="array" ref="AG46">INDEX($J46:$N46,AG14)/12</f>
        <v>416.66666666666669</v>
      </c>
      <c r="AH46" s="454" cm="1">
        <f t="array" ref="AH46">INDEX($J46:$N46,AH14)/12</f>
        <v>416.66666666666669</v>
      </c>
      <c r="AI46" s="454" cm="1">
        <f t="array" ref="AI46">INDEX($J46:$N46,AI14)/12</f>
        <v>416.66666666666669</v>
      </c>
      <c r="AJ46" s="454" cm="1">
        <f t="array" ref="AJ46">INDEX($J46:$N46,AJ14)/12</f>
        <v>416.66666666666669</v>
      </c>
      <c r="AK46" s="454" cm="1">
        <f t="array" ref="AK46">INDEX($J46:$N46,AK14)/12</f>
        <v>416.66666666666669</v>
      </c>
      <c r="AL46" s="454" cm="1">
        <f t="array" ref="AL46">INDEX($J46:$N46,AL14)/12</f>
        <v>416.66666666666669</v>
      </c>
      <c r="AM46" s="454" cm="1">
        <f t="array" ref="AM46">INDEX($J46:$N46,AM14)/12</f>
        <v>416.66666666666669</v>
      </c>
      <c r="AN46" s="454" cm="1">
        <f t="array" ref="AN46">INDEX($J46:$N46,AN14)/12</f>
        <v>416.66666666666669</v>
      </c>
      <c r="AO46" s="454" cm="1">
        <f t="array" ref="AO46">INDEX($J46:$N46,AO14)/12</f>
        <v>416.66666666666669</v>
      </c>
      <c r="AP46" s="454" cm="1">
        <f t="array" ref="AP46">INDEX($J46:$N46,AP14)/12</f>
        <v>416.66666666666669</v>
      </c>
      <c r="AQ46" s="454" cm="1">
        <f t="array" ref="AQ46">INDEX($J46:$N46,AQ14)/12</f>
        <v>416.66666666666669</v>
      </c>
      <c r="AR46" s="454" cm="1">
        <f t="array" ref="AR46">INDEX($J46:$N46,AR14)/12</f>
        <v>416.66666666666669</v>
      </c>
      <c r="AS46" s="454" cm="1">
        <f t="array" ref="AS46">INDEX($J46:$N46,AS14)/12</f>
        <v>416.66666666666669</v>
      </c>
      <c r="AT46" s="454" cm="1">
        <f t="array" ref="AT46">INDEX($J46:$N46,AT14)/12</f>
        <v>416.66666666666669</v>
      </c>
      <c r="AU46" s="454" cm="1">
        <f t="array" ref="AU46">INDEX($J46:$N46,AU14)/12</f>
        <v>416.66666666666669</v>
      </c>
      <c r="AV46" s="454" cm="1">
        <f t="array" ref="AV46">INDEX($J46:$N46,AV14)/12</f>
        <v>416.66666666666669</v>
      </c>
      <c r="AW46" s="454" cm="1">
        <f t="array" ref="AW46">INDEX($J46:$N46,AW14)/12</f>
        <v>416.66666666666669</v>
      </c>
      <c r="AX46" s="454" cm="1">
        <f t="array" ref="AX46">INDEX($J46:$N46,AX14)/12</f>
        <v>416.66666666666669</v>
      </c>
    </row>
    <row r="47" spans="1:50" s="23" customFormat="1" ht="19.25" customHeight="1">
      <c r="A47" s="192"/>
      <c r="B47" s="54"/>
      <c r="C47" s="54"/>
      <c r="D47" s="54"/>
      <c r="E47" s="54"/>
      <c r="F47" s="54"/>
      <c r="G47" s="54"/>
      <c r="H47" s="218"/>
      <c r="I47" s="47" t="str">
        <f>I25</f>
        <v>Take rate</v>
      </c>
      <c r="J47" s="201">
        <f>J36</f>
        <v>0.02</v>
      </c>
      <c r="K47" s="53"/>
      <c r="L47" s="53"/>
      <c r="M47" s="53"/>
      <c r="N47" s="191"/>
      <c r="O47" s="454">
        <f>O41*O46*$J$47</f>
        <v>166.66666666666669</v>
      </c>
      <c r="P47" s="454">
        <f t="shared" ref="P47:Z47" si="230">P41*P46*$J$47</f>
        <v>191.66666666666669</v>
      </c>
      <c r="Q47" s="454">
        <f t="shared" si="230"/>
        <v>216.66666666666669</v>
      </c>
      <c r="R47" s="454">
        <f t="shared" si="230"/>
        <v>241.66666666666669</v>
      </c>
      <c r="S47" s="454">
        <f t="shared" si="230"/>
        <v>266.66666666666669</v>
      </c>
      <c r="T47" s="454">
        <f t="shared" si="230"/>
        <v>283.33333333333337</v>
      </c>
      <c r="U47" s="454">
        <f t="shared" si="230"/>
        <v>300</v>
      </c>
      <c r="V47" s="454">
        <f t="shared" si="230"/>
        <v>316.66666666666669</v>
      </c>
      <c r="W47" s="454">
        <f t="shared" si="230"/>
        <v>333.33333333333337</v>
      </c>
      <c r="X47" s="454">
        <f t="shared" si="230"/>
        <v>350</v>
      </c>
      <c r="Y47" s="454">
        <f t="shared" si="230"/>
        <v>366.66666666666674</v>
      </c>
      <c r="Z47" s="454">
        <f t="shared" si="230"/>
        <v>383.33333333333337</v>
      </c>
      <c r="AA47" s="454">
        <f t="shared" ref="AA47:AC47" si="231">AA41*AA46*$J$47</f>
        <v>400</v>
      </c>
      <c r="AB47" s="454">
        <f t="shared" si="231"/>
        <v>450</v>
      </c>
      <c r="AC47" s="454">
        <f t="shared" si="231"/>
        <v>500</v>
      </c>
      <c r="AD47" s="454">
        <f t="shared" ref="AD47:AJ47" si="232">AD41*AD46*$J$47</f>
        <v>550</v>
      </c>
      <c r="AE47" s="454">
        <f t="shared" si="232"/>
        <v>600</v>
      </c>
      <c r="AF47" s="454">
        <f t="shared" si="232"/>
        <v>650</v>
      </c>
      <c r="AG47" s="454">
        <f t="shared" si="232"/>
        <v>700</v>
      </c>
      <c r="AH47" s="454">
        <f t="shared" si="232"/>
        <v>750</v>
      </c>
      <c r="AI47" s="454">
        <f t="shared" si="232"/>
        <v>791.66666666666674</v>
      </c>
      <c r="AJ47" s="454">
        <f t="shared" si="232"/>
        <v>833.33333333333348</v>
      </c>
      <c r="AK47" s="454">
        <f t="shared" ref="AK47:AL47" si="233">AK41*AK46*$J$47</f>
        <v>875</v>
      </c>
      <c r="AL47" s="454">
        <f t="shared" si="233"/>
        <v>916.66666666666674</v>
      </c>
      <c r="AM47" s="454">
        <f t="shared" ref="AM47:AV47" si="234">AM41*AM46*$J$47</f>
        <v>958.33333333333348</v>
      </c>
      <c r="AN47" s="454">
        <f t="shared" si="234"/>
        <v>1025</v>
      </c>
      <c r="AO47" s="454">
        <f t="shared" si="234"/>
        <v>1091.6666666666667</v>
      </c>
      <c r="AP47" s="454">
        <f t="shared" si="234"/>
        <v>1158.3333333333335</v>
      </c>
      <c r="AQ47" s="454">
        <f t="shared" si="234"/>
        <v>1225</v>
      </c>
      <c r="AR47" s="454">
        <f t="shared" si="234"/>
        <v>1291.6666666666667</v>
      </c>
      <c r="AS47" s="454">
        <f t="shared" si="234"/>
        <v>1350</v>
      </c>
      <c r="AT47" s="454">
        <f t="shared" si="234"/>
        <v>1408.3333333333335</v>
      </c>
      <c r="AU47" s="454">
        <f t="shared" si="234"/>
        <v>1466.666666666667</v>
      </c>
      <c r="AV47" s="454">
        <f t="shared" si="234"/>
        <v>1525</v>
      </c>
      <c r="AW47" s="454">
        <f t="shared" ref="AW47:AX47" si="235">AW41*AW46*$J$47</f>
        <v>1583.3333333333335</v>
      </c>
      <c r="AX47" s="454">
        <f t="shared" si="235"/>
        <v>1641.666666666667</v>
      </c>
    </row>
    <row r="48" spans="1:50" s="23" customFormat="1" ht="19.25" customHeight="1">
      <c r="A48" s="192"/>
      <c r="B48" s="54"/>
      <c r="C48" s="54"/>
      <c r="D48" s="54"/>
      <c r="E48" s="54"/>
      <c r="F48" s="54"/>
      <c r="G48" s="54"/>
      <c r="H48" s="218"/>
      <c r="I48" s="47"/>
      <c r="J48" s="53"/>
      <c r="K48" s="53"/>
      <c r="L48" s="53"/>
      <c r="M48" s="53"/>
      <c r="N48" s="191"/>
      <c r="O48" s="455">
        <f t="shared" ref="O48:Z48" si="236">O47</f>
        <v>166.66666666666669</v>
      </c>
      <c r="P48" s="455">
        <f t="shared" si="236"/>
        <v>191.66666666666669</v>
      </c>
      <c r="Q48" s="455">
        <f t="shared" si="236"/>
        <v>216.66666666666669</v>
      </c>
      <c r="R48" s="455">
        <f t="shared" si="236"/>
        <v>241.66666666666669</v>
      </c>
      <c r="S48" s="455">
        <f t="shared" si="236"/>
        <v>266.66666666666669</v>
      </c>
      <c r="T48" s="455">
        <f t="shared" si="236"/>
        <v>283.33333333333337</v>
      </c>
      <c r="U48" s="455">
        <f t="shared" si="236"/>
        <v>300</v>
      </c>
      <c r="V48" s="455">
        <f t="shared" si="236"/>
        <v>316.66666666666669</v>
      </c>
      <c r="W48" s="455">
        <f t="shared" si="236"/>
        <v>333.33333333333337</v>
      </c>
      <c r="X48" s="455">
        <f t="shared" si="236"/>
        <v>350</v>
      </c>
      <c r="Y48" s="455">
        <f t="shared" si="236"/>
        <v>366.66666666666674</v>
      </c>
      <c r="Z48" s="455">
        <f t="shared" si="236"/>
        <v>383.33333333333337</v>
      </c>
      <c r="AA48" s="455">
        <f t="shared" ref="AA48:AC48" si="237">AA47</f>
        <v>400</v>
      </c>
      <c r="AB48" s="455">
        <f t="shared" si="237"/>
        <v>450</v>
      </c>
      <c r="AC48" s="455">
        <f t="shared" si="237"/>
        <v>500</v>
      </c>
      <c r="AD48" s="455">
        <f t="shared" ref="AD48:AJ48" si="238">AD47</f>
        <v>550</v>
      </c>
      <c r="AE48" s="455">
        <f t="shared" si="238"/>
        <v>600</v>
      </c>
      <c r="AF48" s="455">
        <f t="shared" si="238"/>
        <v>650</v>
      </c>
      <c r="AG48" s="455">
        <f t="shared" si="238"/>
        <v>700</v>
      </c>
      <c r="AH48" s="455">
        <f t="shared" si="238"/>
        <v>750</v>
      </c>
      <c r="AI48" s="455">
        <f t="shared" si="238"/>
        <v>791.66666666666674</v>
      </c>
      <c r="AJ48" s="455">
        <f t="shared" si="238"/>
        <v>833.33333333333348</v>
      </c>
      <c r="AK48" s="455">
        <f t="shared" ref="AK48:AL48" si="239">AK47</f>
        <v>875</v>
      </c>
      <c r="AL48" s="455">
        <f t="shared" si="239"/>
        <v>916.66666666666674</v>
      </c>
      <c r="AM48" s="455">
        <f t="shared" ref="AM48:AV48" si="240">AM47</f>
        <v>958.33333333333348</v>
      </c>
      <c r="AN48" s="455">
        <f t="shared" si="240"/>
        <v>1025</v>
      </c>
      <c r="AO48" s="455">
        <f t="shared" si="240"/>
        <v>1091.6666666666667</v>
      </c>
      <c r="AP48" s="455">
        <f t="shared" si="240"/>
        <v>1158.3333333333335</v>
      </c>
      <c r="AQ48" s="455">
        <f t="shared" si="240"/>
        <v>1225</v>
      </c>
      <c r="AR48" s="455">
        <f t="shared" si="240"/>
        <v>1291.6666666666667</v>
      </c>
      <c r="AS48" s="455">
        <f t="shared" si="240"/>
        <v>1350</v>
      </c>
      <c r="AT48" s="455">
        <f t="shared" si="240"/>
        <v>1408.3333333333335</v>
      </c>
      <c r="AU48" s="455">
        <f t="shared" si="240"/>
        <v>1466.666666666667</v>
      </c>
      <c r="AV48" s="455">
        <f t="shared" si="240"/>
        <v>1525</v>
      </c>
      <c r="AW48" s="455">
        <f t="shared" ref="AW48:AX48" si="241">AW47</f>
        <v>1583.3333333333335</v>
      </c>
      <c r="AX48" s="455">
        <f t="shared" si="241"/>
        <v>1641.666666666667</v>
      </c>
    </row>
    <row r="49" spans="1:50 16378:16378" s="23" customFormat="1" ht="19.25" customHeight="1">
      <c r="A49" s="192"/>
      <c r="B49" s="54"/>
      <c r="G49" s="54"/>
      <c r="H49" s="218"/>
      <c r="I49" s="47"/>
      <c r="J49" s="53"/>
      <c r="K49" s="53"/>
      <c r="L49" s="53"/>
      <c r="M49" s="53"/>
      <c r="N49" s="19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244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244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</row>
    <row r="50" spans="1:50 16378:16378" s="23" customFormat="1" ht="19.25" customHeight="1">
      <c r="A50" s="192"/>
      <c r="H50" s="218"/>
      <c r="I50" s="47"/>
      <c r="J50" s="53"/>
      <c r="K50" s="53"/>
      <c r="L50" s="53"/>
      <c r="M50" s="53"/>
      <c r="N50" s="191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45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45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</row>
    <row r="51" spans="1:50 16378:16378" s="98" customFormat="1">
      <c r="A51" s="59"/>
      <c r="H51" s="217"/>
      <c r="I51" s="16"/>
      <c r="K51" s="234"/>
      <c r="L51" s="234"/>
      <c r="M51" s="234"/>
      <c r="N51" s="233" t="s">
        <v>576</v>
      </c>
      <c r="O51" s="459">
        <f>O20+O31+O42</f>
        <v>15</v>
      </c>
      <c r="P51" s="459">
        <f t="shared" ref="P51:Z51" si="242">P20+P31+P42</f>
        <v>15</v>
      </c>
      <c r="Q51" s="459">
        <f t="shared" si="242"/>
        <v>15</v>
      </c>
      <c r="R51" s="459">
        <f t="shared" si="242"/>
        <v>15</v>
      </c>
      <c r="S51" s="459">
        <f t="shared" si="242"/>
        <v>15</v>
      </c>
      <c r="T51" s="459">
        <f t="shared" si="242"/>
        <v>15</v>
      </c>
      <c r="U51" s="459">
        <f t="shared" si="242"/>
        <v>15</v>
      </c>
      <c r="V51" s="459">
        <f t="shared" si="242"/>
        <v>15</v>
      </c>
      <c r="W51" s="459">
        <f t="shared" si="242"/>
        <v>15</v>
      </c>
      <c r="X51" s="459">
        <f t="shared" si="242"/>
        <v>15</v>
      </c>
      <c r="Y51" s="459">
        <f t="shared" si="242"/>
        <v>15</v>
      </c>
      <c r="Z51" s="459">
        <f t="shared" si="242"/>
        <v>15</v>
      </c>
      <c r="AA51" s="459">
        <f t="shared" ref="AA51:AC51" si="243">AA20+AA31+AA42</f>
        <v>21</v>
      </c>
      <c r="AB51" s="459">
        <f>AB20+AB31+AB42</f>
        <v>21</v>
      </c>
      <c r="AC51" s="459">
        <f t="shared" si="243"/>
        <v>21</v>
      </c>
      <c r="AD51" s="459">
        <f t="shared" ref="AD51:AJ51" si="244">AD20+AD31+AD42</f>
        <v>21</v>
      </c>
      <c r="AE51" s="459">
        <f t="shared" si="244"/>
        <v>21</v>
      </c>
      <c r="AF51" s="459">
        <f t="shared" si="244"/>
        <v>21</v>
      </c>
      <c r="AG51" s="459">
        <f t="shared" si="244"/>
        <v>21</v>
      </c>
      <c r="AH51" s="459">
        <f t="shared" si="244"/>
        <v>21</v>
      </c>
      <c r="AI51" s="459">
        <f t="shared" si="244"/>
        <v>21</v>
      </c>
      <c r="AJ51" s="459">
        <f t="shared" si="244"/>
        <v>21</v>
      </c>
      <c r="AK51" s="459">
        <f t="shared" ref="AK51:AL51" si="245">AK20+AK31+AK42</f>
        <v>21</v>
      </c>
      <c r="AL51" s="459">
        <f t="shared" si="245"/>
        <v>21</v>
      </c>
      <c r="AM51" s="459">
        <f t="shared" ref="AM51:AV51" si="246">AM20+AM31+AM42</f>
        <v>27</v>
      </c>
      <c r="AN51" s="459">
        <f t="shared" si="246"/>
        <v>27</v>
      </c>
      <c r="AO51" s="459">
        <f t="shared" si="246"/>
        <v>27</v>
      </c>
      <c r="AP51" s="459">
        <f t="shared" si="246"/>
        <v>27</v>
      </c>
      <c r="AQ51" s="459">
        <f t="shared" si="246"/>
        <v>27</v>
      </c>
      <c r="AR51" s="459">
        <f t="shared" si="246"/>
        <v>27</v>
      </c>
      <c r="AS51" s="459">
        <f t="shared" si="246"/>
        <v>27</v>
      </c>
      <c r="AT51" s="459">
        <f t="shared" si="246"/>
        <v>27</v>
      </c>
      <c r="AU51" s="459">
        <f t="shared" si="246"/>
        <v>27</v>
      </c>
      <c r="AV51" s="459">
        <f t="shared" si="246"/>
        <v>27</v>
      </c>
      <c r="AW51" s="459">
        <f t="shared" ref="AW51:AX51" si="247">AW20+AW31+AW42</f>
        <v>27</v>
      </c>
      <c r="AX51" s="459">
        <f t="shared" si="247"/>
        <v>27</v>
      </c>
      <c r="XEX51" s="227"/>
    </row>
    <row r="52" spans="1:50 16378:16378" s="223" customFormat="1" ht="19.25" customHeight="1">
      <c r="A52" s="192"/>
      <c r="H52" s="218"/>
      <c r="I52" s="224"/>
      <c r="K52" s="224"/>
      <c r="L52" s="224"/>
      <c r="M52" s="224"/>
      <c r="N52" s="237" t="s">
        <v>572</v>
      </c>
      <c r="O52" s="459">
        <f>O24*O19+O35*O30+O46*O41</f>
        <v>1058333.3333333333</v>
      </c>
      <c r="P52" s="459">
        <f t="shared" ref="P52:Y52" si="248">P24*P19+P35*P30+P46*P41</f>
        <v>1449583.3333333333</v>
      </c>
      <c r="Q52" s="459">
        <f t="shared" si="248"/>
        <v>1840833.3333333333</v>
      </c>
      <c r="R52" s="459">
        <f>R24*R19+R35*R30+R46*R41</f>
        <v>2232083.3333333335</v>
      </c>
      <c r="S52" s="459">
        <f>S24*S19+S35*S30+S46*S41</f>
        <v>2623333.3333333335</v>
      </c>
      <c r="T52" s="459">
        <f t="shared" si="248"/>
        <v>3014166.6666666665</v>
      </c>
      <c r="U52" s="459">
        <f t="shared" si="248"/>
        <v>3405000</v>
      </c>
      <c r="V52" s="459">
        <f t="shared" si="248"/>
        <v>3795833.3333333335</v>
      </c>
      <c r="W52" s="459">
        <f t="shared" si="248"/>
        <v>4186666.6666666665</v>
      </c>
      <c r="X52" s="459">
        <f t="shared" si="248"/>
        <v>4577500</v>
      </c>
      <c r="Y52" s="459">
        <f t="shared" si="248"/>
        <v>4968333.333333333</v>
      </c>
      <c r="Z52" s="459">
        <f>Z24*Z19+Z35*Z30+Z46*Z41</f>
        <v>5359166.666666667</v>
      </c>
      <c r="AA52" s="459">
        <f t="shared" ref="AA52:AC52" si="249">AA24*AA19+AA35*AA30+AA46*AA41</f>
        <v>9005000</v>
      </c>
      <c r="AB52" s="459">
        <f t="shared" si="249"/>
        <v>9817500</v>
      </c>
      <c r="AC52" s="459">
        <f t="shared" si="249"/>
        <v>10630000</v>
      </c>
      <c r="AD52" s="459">
        <f t="shared" ref="AD52:AJ52" si="250">AD24*AD19+AD35*AD30+AD46*AD41</f>
        <v>11442500</v>
      </c>
      <c r="AE52" s="459">
        <f t="shared" si="250"/>
        <v>12180000</v>
      </c>
      <c r="AF52" s="459">
        <f t="shared" si="250"/>
        <v>12897500</v>
      </c>
      <c r="AG52" s="459">
        <f t="shared" si="250"/>
        <v>13615000</v>
      </c>
      <c r="AH52" s="459">
        <f t="shared" si="250"/>
        <v>14332500</v>
      </c>
      <c r="AI52" s="459">
        <f t="shared" si="250"/>
        <v>15049583.333333334</v>
      </c>
      <c r="AJ52" s="459">
        <f t="shared" si="250"/>
        <v>15766666.666666666</v>
      </c>
      <c r="AK52" s="459">
        <f t="shared" ref="AK52:AL52" si="251">AK24*AK19+AK35*AK30+AK46*AK41</f>
        <v>16483750</v>
      </c>
      <c r="AL52" s="459">
        <f t="shared" si="251"/>
        <v>17200833.333333332</v>
      </c>
      <c r="AM52" s="459">
        <f t="shared" ref="AM52:AV52" si="252">AM24*AM19+AM35*AM30+AM46*AM41</f>
        <v>18977916.666666668</v>
      </c>
      <c r="AN52" s="459">
        <f t="shared" si="252"/>
        <v>19896250</v>
      </c>
      <c r="AO52" s="459">
        <f t="shared" si="252"/>
        <v>20814583.333333332</v>
      </c>
      <c r="AP52" s="459">
        <f t="shared" si="252"/>
        <v>21732916.666666668</v>
      </c>
      <c r="AQ52" s="459">
        <f t="shared" si="252"/>
        <v>22651250</v>
      </c>
      <c r="AR52" s="459">
        <f t="shared" si="252"/>
        <v>23569583.333333332</v>
      </c>
      <c r="AS52" s="459">
        <f t="shared" si="252"/>
        <v>24487500</v>
      </c>
      <c r="AT52" s="459">
        <f t="shared" si="252"/>
        <v>25405416.666666668</v>
      </c>
      <c r="AU52" s="459">
        <f t="shared" si="252"/>
        <v>26323333.333333332</v>
      </c>
      <c r="AV52" s="459">
        <f t="shared" si="252"/>
        <v>27241250</v>
      </c>
      <c r="AW52" s="459">
        <f t="shared" ref="AW52:AX52" si="253">AW24*AW19+AW35*AW30+AW46*AW41</f>
        <v>28159166.666666668</v>
      </c>
      <c r="AX52" s="459">
        <f t="shared" si="253"/>
        <v>29077083.333333332</v>
      </c>
    </row>
    <row r="53" spans="1:50 16378:16378" s="223" customFormat="1" ht="19.25" customHeight="1">
      <c r="A53" s="192"/>
      <c r="H53" s="218"/>
      <c r="I53" s="224"/>
      <c r="K53" s="236"/>
      <c r="L53" s="236"/>
      <c r="M53" s="236"/>
      <c r="N53" s="235" t="s">
        <v>577</v>
      </c>
      <c r="O53" s="459">
        <f>O26+O37+O48</f>
        <v>24166.666666666668</v>
      </c>
      <c r="P53" s="459">
        <f t="shared" ref="P53:Z53" si="254">P26+P37+P48</f>
        <v>32391.666666666668</v>
      </c>
      <c r="Q53" s="459">
        <f t="shared" si="254"/>
        <v>40616.666666666664</v>
      </c>
      <c r="R53" s="459">
        <f t="shared" si="254"/>
        <v>48841.666666666664</v>
      </c>
      <c r="S53" s="459">
        <f t="shared" si="254"/>
        <v>57066.666666666664</v>
      </c>
      <c r="T53" s="459">
        <f t="shared" si="254"/>
        <v>65283.333333333336</v>
      </c>
      <c r="U53" s="459">
        <f t="shared" si="254"/>
        <v>73500</v>
      </c>
      <c r="V53" s="459">
        <f t="shared" si="254"/>
        <v>81716.666666666672</v>
      </c>
      <c r="W53" s="459">
        <f t="shared" si="254"/>
        <v>89933.333333333328</v>
      </c>
      <c r="X53" s="459">
        <f t="shared" si="254"/>
        <v>98150</v>
      </c>
      <c r="Y53" s="459">
        <f t="shared" si="254"/>
        <v>106366.66666666667</v>
      </c>
      <c r="Z53" s="459">
        <f t="shared" si="254"/>
        <v>114583.33333333333</v>
      </c>
      <c r="AA53" s="459">
        <f t="shared" ref="AA53:AC53" si="255">AA26+AA37+AA48</f>
        <v>195700</v>
      </c>
      <c r="AB53" s="459">
        <f t="shared" si="255"/>
        <v>212550</v>
      </c>
      <c r="AC53" s="459">
        <f t="shared" si="255"/>
        <v>229400</v>
      </c>
      <c r="AD53" s="459">
        <f t="shared" ref="AD53:AJ53" si="256">AD26+AD37+AD48</f>
        <v>246250</v>
      </c>
      <c r="AE53" s="459">
        <f t="shared" si="256"/>
        <v>261600</v>
      </c>
      <c r="AF53" s="459">
        <f t="shared" si="256"/>
        <v>276350</v>
      </c>
      <c r="AG53" s="459">
        <f t="shared" si="256"/>
        <v>291100</v>
      </c>
      <c r="AH53" s="459">
        <f t="shared" si="256"/>
        <v>305850</v>
      </c>
      <c r="AI53" s="459">
        <f t="shared" si="256"/>
        <v>320591.66666666669</v>
      </c>
      <c r="AJ53" s="459">
        <f t="shared" si="256"/>
        <v>335333.33333333331</v>
      </c>
      <c r="AK53" s="459">
        <f t="shared" ref="AK53:AL53" si="257">AK26+AK37+AK48</f>
        <v>350075</v>
      </c>
      <c r="AL53" s="459">
        <f t="shared" si="257"/>
        <v>364816.66666666669</v>
      </c>
      <c r="AM53" s="459">
        <f t="shared" ref="AM53:AV53" si="258">AM26+AM37+AM48</f>
        <v>411358.33333333331</v>
      </c>
      <c r="AN53" s="459">
        <f t="shared" si="258"/>
        <v>430625</v>
      </c>
      <c r="AO53" s="459">
        <f t="shared" si="258"/>
        <v>449891.66666666669</v>
      </c>
      <c r="AP53" s="459">
        <f t="shared" si="258"/>
        <v>469158.33333333331</v>
      </c>
      <c r="AQ53" s="459">
        <f t="shared" si="258"/>
        <v>488425</v>
      </c>
      <c r="AR53" s="459">
        <f t="shared" si="258"/>
        <v>507691.66666666669</v>
      </c>
      <c r="AS53" s="459">
        <f t="shared" si="258"/>
        <v>526950</v>
      </c>
      <c r="AT53" s="459">
        <f t="shared" si="258"/>
        <v>546208.33333333337</v>
      </c>
      <c r="AU53" s="459">
        <f t="shared" si="258"/>
        <v>565466.66666666663</v>
      </c>
      <c r="AV53" s="459">
        <f t="shared" si="258"/>
        <v>584725</v>
      </c>
      <c r="AW53" s="459">
        <f t="shared" ref="AW53:AX53" si="259">AW26+AW37+AW48</f>
        <v>603983.33333333337</v>
      </c>
      <c r="AX53" s="459">
        <f t="shared" si="259"/>
        <v>623241.66666666663</v>
      </c>
    </row>
    <row r="54" spans="1:50 16378:16378" s="23" customFormat="1" ht="19.25" customHeight="1">
      <c r="A54" s="192"/>
      <c r="B54" s="194"/>
      <c r="C54" s="194"/>
      <c r="D54" s="194"/>
      <c r="E54" s="194"/>
      <c r="F54" s="194"/>
      <c r="G54" s="194"/>
      <c r="H54" s="218"/>
      <c r="I54" s="47"/>
      <c r="J54" s="220"/>
      <c r="K54" s="52"/>
      <c r="L54" s="52"/>
      <c r="M54" s="52"/>
      <c r="N54" s="191"/>
      <c r="O54" s="195"/>
      <c r="P54" s="195"/>
      <c r="Q54" s="195"/>
      <c r="R54" s="195"/>
      <c r="S54" s="195"/>
      <c r="T54" s="191"/>
      <c r="U54" s="193"/>
      <c r="V54" s="193"/>
      <c r="W54" s="193"/>
      <c r="X54" s="193"/>
      <c r="Y54" s="193"/>
      <c r="Z54" s="246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246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</row>
    <row r="55" spans="1:50 16378:16378">
      <c r="B55" s="74" t="s">
        <v>604</v>
      </c>
      <c r="C55" s="74"/>
      <c r="D55" s="74"/>
      <c r="E55" s="74"/>
      <c r="F55" s="74"/>
      <c r="G55" s="74"/>
      <c r="H55" s="461"/>
      <c r="I55" s="462"/>
      <c r="J55" s="462"/>
      <c r="K55" s="462"/>
      <c r="L55" s="462"/>
      <c r="M55" s="462"/>
      <c r="N55" s="462"/>
      <c r="O55" s="460">
        <f>O53</f>
        <v>24166.666666666668</v>
      </c>
      <c r="P55" s="460">
        <f t="shared" ref="P55:AX55" si="260">P53</f>
        <v>32391.666666666668</v>
      </c>
      <c r="Q55" s="460">
        <f t="shared" si="260"/>
        <v>40616.666666666664</v>
      </c>
      <c r="R55" s="460">
        <f t="shared" si="260"/>
        <v>48841.666666666664</v>
      </c>
      <c r="S55" s="460">
        <f t="shared" si="260"/>
        <v>57066.666666666664</v>
      </c>
      <c r="T55" s="460">
        <f t="shared" si="260"/>
        <v>65283.333333333336</v>
      </c>
      <c r="U55" s="460">
        <f t="shared" si="260"/>
        <v>73500</v>
      </c>
      <c r="V55" s="460">
        <f t="shared" si="260"/>
        <v>81716.666666666672</v>
      </c>
      <c r="W55" s="460">
        <f t="shared" si="260"/>
        <v>89933.333333333328</v>
      </c>
      <c r="X55" s="460">
        <f t="shared" si="260"/>
        <v>98150</v>
      </c>
      <c r="Y55" s="460">
        <f t="shared" si="260"/>
        <v>106366.66666666667</v>
      </c>
      <c r="Z55" s="460">
        <f t="shared" si="260"/>
        <v>114583.33333333333</v>
      </c>
      <c r="AA55" s="460">
        <f t="shared" si="260"/>
        <v>195700</v>
      </c>
      <c r="AB55" s="460">
        <f t="shared" si="260"/>
        <v>212550</v>
      </c>
      <c r="AC55" s="460">
        <f t="shared" si="260"/>
        <v>229400</v>
      </c>
      <c r="AD55" s="460">
        <f t="shared" si="260"/>
        <v>246250</v>
      </c>
      <c r="AE55" s="460">
        <f t="shared" si="260"/>
        <v>261600</v>
      </c>
      <c r="AF55" s="460">
        <f t="shared" si="260"/>
        <v>276350</v>
      </c>
      <c r="AG55" s="460">
        <f t="shared" si="260"/>
        <v>291100</v>
      </c>
      <c r="AH55" s="460">
        <f t="shared" si="260"/>
        <v>305850</v>
      </c>
      <c r="AI55" s="460">
        <f t="shared" si="260"/>
        <v>320591.66666666669</v>
      </c>
      <c r="AJ55" s="460">
        <f t="shared" si="260"/>
        <v>335333.33333333331</v>
      </c>
      <c r="AK55" s="460">
        <f t="shared" si="260"/>
        <v>350075</v>
      </c>
      <c r="AL55" s="460">
        <f t="shared" si="260"/>
        <v>364816.66666666669</v>
      </c>
      <c r="AM55" s="460">
        <f t="shared" si="260"/>
        <v>411358.33333333331</v>
      </c>
      <c r="AN55" s="460">
        <f t="shared" si="260"/>
        <v>430625</v>
      </c>
      <c r="AO55" s="460">
        <f t="shared" si="260"/>
        <v>449891.66666666669</v>
      </c>
      <c r="AP55" s="460">
        <f t="shared" si="260"/>
        <v>469158.33333333331</v>
      </c>
      <c r="AQ55" s="460">
        <f t="shared" si="260"/>
        <v>488425</v>
      </c>
      <c r="AR55" s="460">
        <f t="shared" si="260"/>
        <v>507691.66666666669</v>
      </c>
      <c r="AS55" s="460">
        <f t="shared" si="260"/>
        <v>526950</v>
      </c>
      <c r="AT55" s="460">
        <f t="shared" si="260"/>
        <v>546208.33333333337</v>
      </c>
      <c r="AU55" s="460">
        <f t="shared" si="260"/>
        <v>565466.66666666663</v>
      </c>
      <c r="AV55" s="460">
        <f t="shared" si="260"/>
        <v>584725</v>
      </c>
      <c r="AW55" s="460">
        <f t="shared" si="260"/>
        <v>603983.33333333337</v>
      </c>
      <c r="AX55" s="460">
        <f t="shared" si="260"/>
        <v>623241.66666666663</v>
      </c>
    </row>
    <row r="56" spans="1:50 16378:16378">
      <c r="B56" s="194" t="s">
        <v>181</v>
      </c>
      <c r="C56" s="194"/>
      <c r="D56" s="194"/>
      <c r="E56" s="194"/>
      <c r="F56" s="194"/>
      <c r="G56" s="194"/>
      <c r="H56" s="218"/>
      <c r="I56" s="191"/>
      <c r="J56" s="191"/>
      <c r="K56" s="191"/>
      <c r="L56" s="191"/>
      <c r="M56" s="191"/>
      <c r="N56" s="191"/>
      <c r="O56" s="196">
        <f t="shared" ref="O56:Z56" si="261">+O55/O67</f>
        <v>1</v>
      </c>
      <c r="P56" s="196">
        <f>+P55/P67</f>
        <v>1</v>
      </c>
      <c r="Q56" s="196">
        <f t="shared" si="261"/>
        <v>1</v>
      </c>
      <c r="R56" s="196">
        <f t="shared" si="261"/>
        <v>1</v>
      </c>
      <c r="S56" s="196">
        <f t="shared" si="261"/>
        <v>1</v>
      </c>
      <c r="T56" s="196">
        <f t="shared" si="261"/>
        <v>1</v>
      </c>
      <c r="U56" s="196">
        <f t="shared" si="261"/>
        <v>1</v>
      </c>
      <c r="V56" s="196">
        <f t="shared" si="261"/>
        <v>1</v>
      </c>
      <c r="W56" s="196">
        <f t="shared" si="261"/>
        <v>1</v>
      </c>
      <c r="X56" s="196">
        <f t="shared" si="261"/>
        <v>1</v>
      </c>
      <c r="Y56" s="196">
        <f t="shared" si="261"/>
        <v>1</v>
      </c>
      <c r="Z56" s="247">
        <f t="shared" si="261"/>
        <v>1</v>
      </c>
      <c r="AA56" s="203">
        <f t="shared" ref="AA56" si="262">+AA55/AA67</f>
        <v>1</v>
      </c>
      <c r="AB56" s="203">
        <f t="shared" ref="AB56" si="263">+AB55/AB67</f>
        <v>1</v>
      </c>
      <c r="AC56" s="203">
        <f t="shared" ref="AC56" si="264">+AC55/AC67</f>
        <v>1</v>
      </c>
      <c r="AD56" s="203">
        <f t="shared" ref="AD56" si="265">+AD55/AD67</f>
        <v>1</v>
      </c>
      <c r="AE56" s="203">
        <f t="shared" ref="AE56" si="266">+AE55/AE67</f>
        <v>1</v>
      </c>
      <c r="AF56" s="203">
        <f t="shared" ref="AF56" si="267">+AF55/AF67</f>
        <v>1</v>
      </c>
      <c r="AG56" s="203">
        <f t="shared" ref="AG56" si="268">+AG55/AG67</f>
        <v>1</v>
      </c>
      <c r="AH56" s="203">
        <f t="shared" ref="AH56" si="269">+AH55/AH67</f>
        <v>1</v>
      </c>
      <c r="AI56" s="203">
        <f t="shared" ref="AI56" si="270">+AI55/AI67</f>
        <v>1</v>
      </c>
      <c r="AJ56" s="203">
        <f t="shared" ref="AJ56" si="271">+AJ55/AJ67</f>
        <v>1</v>
      </c>
      <c r="AK56" s="203">
        <f t="shared" ref="AK56" si="272">+AK55/AK67</f>
        <v>1</v>
      </c>
      <c r="AL56" s="247">
        <f t="shared" ref="AL56" si="273">+AL55/AL67</f>
        <v>1</v>
      </c>
      <c r="AM56" s="203">
        <f t="shared" ref="AM56" si="274">+AM55/AM67</f>
        <v>1</v>
      </c>
      <c r="AN56" s="203">
        <f t="shared" ref="AN56" si="275">+AN55/AN67</f>
        <v>1</v>
      </c>
      <c r="AO56" s="203">
        <f t="shared" ref="AO56" si="276">+AO55/AO67</f>
        <v>1</v>
      </c>
      <c r="AP56" s="203">
        <f t="shared" ref="AP56" si="277">+AP55/AP67</f>
        <v>1</v>
      </c>
      <c r="AQ56" s="203">
        <f t="shared" ref="AQ56" si="278">+AQ55/AQ67</f>
        <v>1</v>
      </c>
      <c r="AR56" s="203">
        <f t="shared" ref="AR56" si="279">+AR55/AR67</f>
        <v>1</v>
      </c>
      <c r="AS56" s="203">
        <f t="shared" ref="AS56" si="280">+AS55/AS67</f>
        <v>1</v>
      </c>
      <c r="AT56" s="203">
        <f t="shared" ref="AT56" si="281">+AT55/AT67</f>
        <v>1</v>
      </c>
      <c r="AU56" s="203">
        <f t="shared" ref="AU56" si="282">+AU55/AU67</f>
        <v>1</v>
      </c>
      <c r="AV56" s="203">
        <f t="shared" ref="AV56" si="283">+AV55/AV67</f>
        <v>1</v>
      </c>
      <c r="AW56" s="203">
        <f t="shared" ref="AW56" si="284">+AW55/AW67</f>
        <v>1</v>
      </c>
      <c r="AX56" s="203">
        <f t="shared" ref="AX56" si="285">+AX55/AX67</f>
        <v>1</v>
      </c>
    </row>
    <row r="57" spans="1:50 16378:16378" s="23" customFormat="1" ht="19.25" customHeight="1">
      <c r="A57" s="192"/>
      <c r="B57" s="194"/>
      <c r="C57" s="194"/>
      <c r="D57" s="194"/>
      <c r="E57" s="194"/>
      <c r="F57" s="194"/>
      <c r="G57" s="194"/>
      <c r="H57" s="218"/>
      <c r="I57" s="47"/>
      <c r="J57" s="53"/>
      <c r="K57" s="53"/>
      <c r="L57" s="53"/>
      <c r="M57" s="53"/>
      <c r="N57" s="191"/>
      <c r="O57" s="195"/>
      <c r="P57" s="195"/>
      <c r="Q57" s="195"/>
      <c r="R57" s="195"/>
      <c r="S57" s="195"/>
      <c r="T57" s="191"/>
      <c r="U57" s="193"/>
      <c r="V57" s="193"/>
      <c r="W57" s="193"/>
      <c r="X57" s="193"/>
      <c r="Y57" s="193"/>
      <c r="Z57" s="246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246"/>
      <c r="AM57" s="193"/>
      <c r="AN57" s="193"/>
      <c r="AO57" s="193"/>
      <c r="AP57" s="193"/>
      <c r="AQ57" s="193"/>
      <c r="AR57" s="193"/>
      <c r="AS57" s="193"/>
      <c r="AT57" s="193"/>
      <c r="AU57" s="193"/>
      <c r="AV57" s="193"/>
      <c r="AW57" s="193"/>
      <c r="AX57" s="193"/>
    </row>
    <row r="58" spans="1:50 16378:16378">
      <c r="B58" s="57" t="s">
        <v>605</v>
      </c>
    </row>
    <row r="59" spans="1:50 16378:16378" ht="33" customHeight="1" thickBot="1">
      <c r="C59" s="57"/>
      <c r="D59" s="57"/>
      <c r="E59" s="57"/>
      <c r="F59" s="57"/>
      <c r="G59" s="57"/>
      <c r="H59" s="16"/>
      <c r="I59" s="360" t="s">
        <v>575</v>
      </c>
      <c r="J59" s="357"/>
      <c r="K59" s="357"/>
      <c r="L59" s="357"/>
      <c r="M59" s="357"/>
      <c r="N59" s="357"/>
      <c r="O59" s="344">
        <f>O12</f>
        <v>46053</v>
      </c>
      <c r="P59" s="344">
        <f>P12</f>
        <v>46054</v>
      </c>
      <c r="Q59" s="344">
        <f>Q12</f>
        <v>46082</v>
      </c>
      <c r="R59" s="344">
        <f>R12</f>
        <v>46113</v>
      </c>
      <c r="S59" s="344">
        <f>S12</f>
        <v>46143</v>
      </c>
      <c r="T59" s="344">
        <f>T12</f>
        <v>46174</v>
      </c>
      <c r="U59" s="344">
        <f>U12</f>
        <v>46204</v>
      </c>
      <c r="V59" s="344">
        <f>V12</f>
        <v>46235</v>
      </c>
      <c r="W59" s="344">
        <f>W12</f>
        <v>46266</v>
      </c>
      <c r="X59" s="344">
        <f>X12</f>
        <v>46296</v>
      </c>
      <c r="Y59" s="344">
        <f>Y12</f>
        <v>46327</v>
      </c>
      <c r="Z59" s="361">
        <f>Z12</f>
        <v>46357</v>
      </c>
      <c r="AA59" s="344">
        <f>AA12</f>
        <v>46388</v>
      </c>
      <c r="AB59" s="344">
        <f>AB12</f>
        <v>46419</v>
      </c>
      <c r="AC59" s="344">
        <f>AC12</f>
        <v>46447</v>
      </c>
      <c r="AD59" s="344">
        <f>AD12</f>
        <v>46478</v>
      </c>
      <c r="AE59" s="344">
        <f>AE12</f>
        <v>46508</v>
      </c>
      <c r="AF59" s="344">
        <f>AF12</f>
        <v>46539</v>
      </c>
      <c r="AG59" s="344">
        <f>AG12</f>
        <v>46569</v>
      </c>
      <c r="AH59" s="344">
        <f>AH12</f>
        <v>46600</v>
      </c>
      <c r="AI59" s="344">
        <f>AI12</f>
        <v>46631</v>
      </c>
      <c r="AJ59" s="344">
        <f>AJ12</f>
        <v>46661</v>
      </c>
      <c r="AK59" s="344">
        <f>AK12</f>
        <v>46692</v>
      </c>
      <c r="AL59" s="361">
        <f>AL12</f>
        <v>46722</v>
      </c>
      <c r="AM59" s="344">
        <f>AM12</f>
        <v>46753</v>
      </c>
      <c r="AN59" s="344">
        <f>AN12</f>
        <v>46784</v>
      </c>
      <c r="AO59" s="344">
        <f>AO12</f>
        <v>46813</v>
      </c>
      <c r="AP59" s="344">
        <f>AP12</f>
        <v>46844</v>
      </c>
      <c r="AQ59" s="344">
        <f>AQ12</f>
        <v>46874</v>
      </c>
      <c r="AR59" s="344">
        <f>AR12</f>
        <v>46905</v>
      </c>
      <c r="AS59" s="344">
        <f>AS12</f>
        <v>46935</v>
      </c>
      <c r="AT59" s="344">
        <f>AT12</f>
        <v>46966</v>
      </c>
      <c r="AU59" s="344">
        <f>AU12</f>
        <v>46997</v>
      </c>
      <c r="AV59" s="344">
        <f>AV12</f>
        <v>47027</v>
      </c>
      <c r="AW59" s="344">
        <f>AW12</f>
        <v>47058</v>
      </c>
      <c r="AX59" s="344">
        <f>AX12</f>
        <v>47088</v>
      </c>
    </row>
    <row r="60" spans="1:50 16378:16378">
      <c r="O60" s="79"/>
      <c r="P60" s="79"/>
      <c r="Q60" s="79"/>
      <c r="R60" s="79"/>
      <c r="S60" s="79"/>
    </row>
    <row r="61" spans="1:50 16378:16378">
      <c r="B61" s="130" t="s">
        <v>544</v>
      </c>
      <c r="C61" s="130"/>
      <c r="D61" s="130"/>
      <c r="E61" s="130"/>
      <c r="F61" s="130"/>
      <c r="G61" s="130"/>
      <c r="H61" s="16"/>
      <c r="I61" s="498">
        <f>20%</f>
        <v>0.2</v>
      </c>
      <c r="J61" s="541"/>
      <c r="K61" s="541"/>
      <c r="L61" s="541"/>
      <c r="M61" s="541"/>
      <c r="N61" s="190"/>
      <c r="O61" s="474">
        <v>0</v>
      </c>
      <c r="P61" s="454">
        <f t="shared" ref="P61:Z61" si="286">+O61+O61*$I$61</f>
        <v>0</v>
      </c>
      <c r="Q61" s="454">
        <f t="shared" si="286"/>
        <v>0</v>
      </c>
      <c r="R61" s="454">
        <f t="shared" si="286"/>
        <v>0</v>
      </c>
      <c r="S61" s="454">
        <f t="shared" si="286"/>
        <v>0</v>
      </c>
      <c r="T61" s="454">
        <f t="shared" si="286"/>
        <v>0</v>
      </c>
      <c r="U61" s="454">
        <f t="shared" si="286"/>
        <v>0</v>
      </c>
      <c r="V61" s="454">
        <f t="shared" si="286"/>
        <v>0</v>
      </c>
      <c r="W61" s="454">
        <f t="shared" si="286"/>
        <v>0</v>
      </c>
      <c r="X61" s="454">
        <f t="shared" si="286"/>
        <v>0</v>
      </c>
      <c r="Y61" s="454">
        <f t="shared" si="286"/>
        <v>0</v>
      </c>
      <c r="Z61" s="454">
        <f t="shared" si="286"/>
        <v>0</v>
      </c>
      <c r="AA61" s="454">
        <f t="shared" ref="AA61:AC61" si="287">+Z61+Z61*$I$61</f>
        <v>0</v>
      </c>
      <c r="AB61" s="454">
        <f t="shared" si="287"/>
        <v>0</v>
      </c>
      <c r="AC61" s="454">
        <f t="shared" si="287"/>
        <v>0</v>
      </c>
      <c r="AD61" s="454">
        <f t="shared" ref="AD61:AJ61" si="288">+AC61+AC61*$I$61</f>
        <v>0</v>
      </c>
      <c r="AE61" s="454">
        <f t="shared" si="288"/>
        <v>0</v>
      </c>
      <c r="AF61" s="454">
        <f t="shared" si="288"/>
        <v>0</v>
      </c>
      <c r="AG61" s="454">
        <f t="shared" si="288"/>
        <v>0</v>
      </c>
      <c r="AH61" s="454">
        <f t="shared" si="288"/>
        <v>0</v>
      </c>
      <c r="AI61" s="454">
        <f t="shared" si="288"/>
        <v>0</v>
      </c>
      <c r="AJ61" s="454">
        <f t="shared" si="288"/>
        <v>0</v>
      </c>
      <c r="AK61" s="454">
        <f t="shared" ref="AK61:AL61" si="289">+AJ61+AJ61*$I$61</f>
        <v>0</v>
      </c>
      <c r="AL61" s="454">
        <f t="shared" si="289"/>
        <v>0</v>
      </c>
      <c r="AM61" s="454">
        <f t="shared" ref="AM61:AV61" si="290">+AL61+AL61*$I$61</f>
        <v>0</v>
      </c>
      <c r="AN61" s="454">
        <f t="shared" si="290"/>
        <v>0</v>
      </c>
      <c r="AO61" s="454">
        <f t="shared" si="290"/>
        <v>0</v>
      </c>
      <c r="AP61" s="454">
        <f t="shared" si="290"/>
        <v>0</v>
      </c>
      <c r="AQ61" s="454">
        <f t="shared" si="290"/>
        <v>0</v>
      </c>
      <c r="AR61" s="454">
        <f t="shared" si="290"/>
        <v>0</v>
      </c>
      <c r="AS61" s="454">
        <f t="shared" si="290"/>
        <v>0</v>
      </c>
      <c r="AT61" s="454">
        <f t="shared" si="290"/>
        <v>0</v>
      </c>
      <c r="AU61" s="454">
        <f t="shared" si="290"/>
        <v>0</v>
      </c>
      <c r="AV61" s="454">
        <f t="shared" si="290"/>
        <v>0</v>
      </c>
      <c r="AW61" s="454">
        <f t="shared" ref="AW61:AX61" si="291">+AV61+AV61*$I$61</f>
        <v>0</v>
      </c>
      <c r="AX61" s="454">
        <f t="shared" si="291"/>
        <v>0</v>
      </c>
    </row>
    <row r="62" spans="1:50 16378:16378">
      <c r="B62" s="130" t="s">
        <v>544</v>
      </c>
      <c r="C62" s="130"/>
      <c r="D62" s="130"/>
      <c r="E62" s="130"/>
      <c r="F62" s="130"/>
      <c r="G62" s="130"/>
      <c r="H62" s="16"/>
      <c r="I62" s="498">
        <f>20%</f>
        <v>0.2</v>
      </c>
      <c r="J62" s="541"/>
      <c r="K62" s="541"/>
      <c r="L62" s="541"/>
      <c r="M62" s="541"/>
      <c r="N62" s="190"/>
      <c r="O62" s="474">
        <v>0</v>
      </c>
      <c r="P62" s="454">
        <f t="shared" ref="P62:Z62" si="292">+O62+O62*$I$62</f>
        <v>0</v>
      </c>
      <c r="Q62" s="454">
        <f t="shared" si="292"/>
        <v>0</v>
      </c>
      <c r="R62" s="454">
        <f t="shared" si="292"/>
        <v>0</v>
      </c>
      <c r="S62" s="454">
        <f t="shared" si="292"/>
        <v>0</v>
      </c>
      <c r="T62" s="454">
        <f t="shared" si="292"/>
        <v>0</v>
      </c>
      <c r="U62" s="454">
        <f t="shared" si="292"/>
        <v>0</v>
      </c>
      <c r="V62" s="454">
        <f t="shared" si="292"/>
        <v>0</v>
      </c>
      <c r="W62" s="454">
        <f t="shared" si="292"/>
        <v>0</v>
      </c>
      <c r="X62" s="454">
        <f t="shared" si="292"/>
        <v>0</v>
      </c>
      <c r="Y62" s="454">
        <f t="shared" si="292"/>
        <v>0</v>
      </c>
      <c r="Z62" s="454">
        <f t="shared" si="292"/>
        <v>0</v>
      </c>
      <c r="AA62" s="454">
        <f t="shared" ref="AA62:AC62" si="293">+Z62+Z62*$I$62</f>
        <v>0</v>
      </c>
      <c r="AB62" s="454">
        <f t="shared" si="293"/>
        <v>0</v>
      </c>
      <c r="AC62" s="454">
        <f t="shared" si="293"/>
        <v>0</v>
      </c>
      <c r="AD62" s="454">
        <f t="shared" ref="AD62:AJ62" si="294">+AC62+AC62*$I$62</f>
        <v>0</v>
      </c>
      <c r="AE62" s="454">
        <f t="shared" si="294"/>
        <v>0</v>
      </c>
      <c r="AF62" s="454">
        <f t="shared" si="294"/>
        <v>0</v>
      </c>
      <c r="AG62" s="454">
        <f t="shared" si="294"/>
        <v>0</v>
      </c>
      <c r="AH62" s="454">
        <f t="shared" si="294"/>
        <v>0</v>
      </c>
      <c r="AI62" s="454">
        <f t="shared" si="294"/>
        <v>0</v>
      </c>
      <c r="AJ62" s="454">
        <f t="shared" si="294"/>
        <v>0</v>
      </c>
      <c r="AK62" s="454">
        <f t="shared" ref="AK62:AL62" si="295">+AJ62+AJ62*$I$62</f>
        <v>0</v>
      </c>
      <c r="AL62" s="454">
        <f t="shared" si="295"/>
        <v>0</v>
      </c>
      <c r="AM62" s="454">
        <f t="shared" ref="AM62:AV62" si="296">+AL62+AL62*$I$62</f>
        <v>0</v>
      </c>
      <c r="AN62" s="454">
        <f t="shared" si="296"/>
        <v>0</v>
      </c>
      <c r="AO62" s="454">
        <f t="shared" si="296"/>
        <v>0</v>
      </c>
      <c r="AP62" s="454">
        <f t="shared" si="296"/>
        <v>0</v>
      </c>
      <c r="AQ62" s="454">
        <f t="shared" si="296"/>
        <v>0</v>
      </c>
      <c r="AR62" s="454">
        <f t="shared" si="296"/>
        <v>0</v>
      </c>
      <c r="AS62" s="454">
        <f t="shared" si="296"/>
        <v>0</v>
      </c>
      <c r="AT62" s="454">
        <f t="shared" si="296"/>
        <v>0</v>
      </c>
      <c r="AU62" s="454">
        <f t="shared" si="296"/>
        <v>0</v>
      </c>
      <c r="AV62" s="454">
        <f t="shared" si="296"/>
        <v>0</v>
      </c>
      <c r="AW62" s="454">
        <f t="shared" ref="AW62:AX62" si="297">+AV62+AV62*$I$62</f>
        <v>0</v>
      </c>
      <c r="AX62" s="454">
        <f t="shared" si="297"/>
        <v>0</v>
      </c>
    </row>
    <row r="63" spans="1:50 16378:16378">
      <c r="B63" s="72" t="s">
        <v>544</v>
      </c>
      <c r="C63" s="72"/>
      <c r="D63" s="72"/>
      <c r="E63" s="72"/>
      <c r="F63" s="72"/>
      <c r="G63" s="72"/>
      <c r="H63" s="72"/>
      <c r="I63" s="458"/>
      <c r="J63" s="458"/>
      <c r="K63" s="458"/>
      <c r="L63" s="458"/>
      <c r="M63" s="458"/>
      <c r="N63" s="191"/>
      <c r="O63" s="455">
        <f t="shared" ref="O63:Z63" si="298">SUM(O61:O62)</f>
        <v>0</v>
      </c>
      <c r="P63" s="455">
        <f t="shared" si="298"/>
        <v>0</v>
      </c>
      <c r="Q63" s="455">
        <f t="shared" si="298"/>
        <v>0</v>
      </c>
      <c r="R63" s="455">
        <f t="shared" si="298"/>
        <v>0</v>
      </c>
      <c r="S63" s="455">
        <f t="shared" si="298"/>
        <v>0</v>
      </c>
      <c r="T63" s="455">
        <f t="shared" si="298"/>
        <v>0</v>
      </c>
      <c r="U63" s="455">
        <f t="shared" si="298"/>
        <v>0</v>
      </c>
      <c r="V63" s="455">
        <f t="shared" si="298"/>
        <v>0</v>
      </c>
      <c r="W63" s="455">
        <f t="shared" si="298"/>
        <v>0</v>
      </c>
      <c r="X63" s="455">
        <f t="shared" si="298"/>
        <v>0</v>
      </c>
      <c r="Y63" s="455">
        <f t="shared" si="298"/>
        <v>0</v>
      </c>
      <c r="Z63" s="455">
        <f t="shared" si="298"/>
        <v>0</v>
      </c>
      <c r="AA63" s="455">
        <f t="shared" ref="AA63" si="299">SUM(AA61:AA62)</f>
        <v>0</v>
      </c>
      <c r="AB63" s="455">
        <f t="shared" ref="AB63" si="300">SUM(AB61:AB62)</f>
        <v>0</v>
      </c>
      <c r="AC63" s="455">
        <f t="shared" ref="AC63" si="301">SUM(AC61:AC62)</f>
        <v>0</v>
      </c>
      <c r="AD63" s="455">
        <f t="shared" ref="AD63" si="302">SUM(AD61:AD62)</f>
        <v>0</v>
      </c>
      <c r="AE63" s="455">
        <f t="shared" ref="AE63" si="303">SUM(AE61:AE62)</f>
        <v>0</v>
      </c>
      <c r="AF63" s="455">
        <f t="shared" ref="AF63" si="304">SUM(AF61:AF62)</f>
        <v>0</v>
      </c>
      <c r="AG63" s="455">
        <f t="shared" ref="AG63" si="305">SUM(AG61:AG62)</f>
        <v>0</v>
      </c>
      <c r="AH63" s="455">
        <f t="shared" ref="AH63" si="306">SUM(AH61:AH62)</f>
        <v>0</v>
      </c>
      <c r="AI63" s="455">
        <f t="shared" ref="AI63" si="307">SUM(AI61:AI62)</f>
        <v>0</v>
      </c>
      <c r="AJ63" s="455">
        <f t="shared" ref="AJ63" si="308">SUM(AJ61:AJ62)</f>
        <v>0</v>
      </c>
      <c r="AK63" s="455">
        <f t="shared" ref="AK63" si="309">SUM(AK61:AK62)</f>
        <v>0</v>
      </c>
      <c r="AL63" s="455">
        <f t="shared" ref="AL63" si="310">SUM(AL61:AL62)</f>
        <v>0</v>
      </c>
      <c r="AM63" s="455">
        <f t="shared" ref="AM63" si="311">SUM(AM61:AM62)</f>
        <v>0</v>
      </c>
      <c r="AN63" s="455">
        <f t="shared" ref="AN63" si="312">SUM(AN61:AN62)</f>
        <v>0</v>
      </c>
      <c r="AO63" s="455">
        <f t="shared" ref="AO63" si="313">SUM(AO61:AO62)</f>
        <v>0</v>
      </c>
      <c r="AP63" s="455">
        <f t="shared" ref="AP63" si="314">SUM(AP61:AP62)</f>
        <v>0</v>
      </c>
      <c r="AQ63" s="455">
        <f t="shared" ref="AQ63" si="315">SUM(AQ61:AQ62)</f>
        <v>0</v>
      </c>
      <c r="AR63" s="455">
        <f t="shared" ref="AR63" si="316">SUM(AR61:AR62)</f>
        <v>0</v>
      </c>
      <c r="AS63" s="455">
        <f t="shared" ref="AS63" si="317">SUM(AS61:AS62)</f>
        <v>0</v>
      </c>
      <c r="AT63" s="455">
        <f t="shared" ref="AT63" si="318">SUM(AT61:AT62)</f>
        <v>0</v>
      </c>
      <c r="AU63" s="455">
        <f t="shared" ref="AU63" si="319">SUM(AU61:AU62)</f>
        <v>0</v>
      </c>
      <c r="AV63" s="455">
        <f t="shared" ref="AV63" si="320">SUM(AV61:AV62)</f>
        <v>0</v>
      </c>
      <c r="AW63" s="455">
        <f t="shared" ref="AW63" si="321">SUM(AW61:AW62)</f>
        <v>0</v>
      </c>
      <c r="AX63" s="455">
        <f t="shared" ref="AX63" si="322">SUM(AX61:AX62)</f>
        <v>0</v>
      </c>
    </row>
    <row r="65" spans="1:50 16124:16124">
      <c r="B65" s="194" t="s">
        <v>181</v>
      </c>
      <c r="C65" s="194"/>
      <c r="D65" s="194"/>
      <c r="E65" s="194"/>
      <c r="F65" s="194"/>
      <c r="G65" s="194"/>
      <c r="H65" s="218"/>
      <c r="I65" s="191"/>
      <c r="J65" s="191"/>
      <c r="K65" s="191"/>
      <c r="L65" s="191"/>
      <c r="M65" s="191"/>
      <c r="N65" s="191"/>
      <c r="O65" s="196">
        <f>+O63/O67</f>
        <v>0</v>
      </c>
      <c r="P65" s="196">
        <f t="shared" ref="P65:Z65" si="323">+P63/P67</f>
        <v>0</v>
      </c>
      <c r="Q65" s="196">
        <f t="shared" si="323"/>
        <v>0</v>
      </c>
      <c r="R65" s="196">
        <f t="shared" si="323"/>
        <v>0</v>
      </c>
      <c r="S65" s="196">
        <f t="shared" si="323"/>
        <v>0</v>
      </c>
      <c r="T65" s="196">
        <f t="shared" si="323"/>
        <v>0</v>
      </c>
      <c r="U65" s="196">
        <f t="shared" si="323"/>
        <v>0</v>
      </c>
      <c r="V65" s="196">
        <f t="shared" si="323"/>
        <v>0</v>
      </c>
      <c r="W65" s="196">
        <f t="shared" si="323"/>
        <v>0</v>
      </c>
      <c r="X65" s="196">
        <f t="shared" si="323"/>
        <v>0</v>
      </c>
      <c r="Y65" s="196">
        <f t="shared" si="323"/>
        <v>0</v>
      </c>
      <c r="Z65" s="247">
        <f t="shared" si="323"/>
        <v>0</v>
      </c>
      <c r="AA65" s="203">
        <f t="shared" ref="AA65:AC65" si="324">+AA63/AA67</f>
        <v>0</v>
      </c>
      <c r="AB65" s="203">
        <f t="shared" si="324"/>
        <v>0</v>
      </c>
      <c r="AC65" s="203">
        <f t="shared" si="324"/>
        <v>0</v>
      </c>
      <c r="AD65" s="203">
        <f t="shared" ref="AD65:AJ65" si="325">+AD63/AD67</f>
        <v>0</v>
      </c>
      <c r="AE65" s="203">
        <f t="shared" si="325"/>
        <v>0</v>
      </c>
      <c r="AF65" s="203">
        <f t="shared" si="325"/>
        <v>0</v>
      </c>
      <c r="AG65" s="203">
        <f t="shared" si="325"/>
        <v>0</v>
      </c>
      <c r="AH65" s="203">
        <f t="shared" si="325"/>
        <v>0</v>
      </c>
      <c r="AI65" s="203">
        <f t="shared" si="325"/>
        <v>0</v>
      </c>
      <c r="AJ65" s="203">
        <f t="shared" si="325"/>
        <v>0</v>
      </c>
      <c r="AK65" s="203">
        <f t="shared" ref="AK65:AL65" si="326">+AK63/AK67</f>
        <v>0</v>
      </c>
      <c r="AL65" s="247">
        <f t="shared" si="326"/>
        <v>0</v>
      </c>
      <c r="AM65" s="203">
        <f t="shared" ref="AM65:AV65" si="327">+AM63/AM67</f>
        <v>0</v>
      </c>
      <c r="AN65" s="203">
        <f t="shared" si="327"/>
        <v>0</v>
      </c>
      <c r="AO65" s="203">
        <f t="shared" si="327"/>
        <v>0</v>
      </c>
      <c r="AP65" s="203">
        <f t="shared" si="327"/>
        <v>0</v>
      </c>
      <c r="AQ65" s="203">
        <f t="shared" si="327"/>
        <v>0</v>
      </c>
      <c r="AR65" s="203">
        <f t="shared" si="327"/>
        <v>0</v>
      </c>
      <c r="AS65" s="203">
        <f t="shared" si="327"/>
        <v>0</v>
      </c>
      <c r="AT65" s="203">
        <f t="shared" si="327"/>
        <v>0</v>
      </c>
      <c r="AU65" s="203">
        <f t="shared" si="327"/>
        <v>0</v>
      </c>
      <c r="AV65" s="203">
        <f t="shared" si="327"/>
        <v>0</v>
      </c>
      <c r="AW65" s="203">
        <f t="shared" ref="AW65:AX65" si="328">+AW63/AW67</f>
        <v>0</v>
      </c>
      <c r="AX65" s="203">
        <f t="shared" si="328"/>
        <v>0</v>
      </c>
    </row>
    <row r="66" spans="1:50 16124:16124">
      <c r="O66" s="79"/>
      <c r="P66" s="79"/>
      <c r="Q66" s="79"/>
      <c r="R66" s="79"/>
      <c r="S66" s="79"/>
    </row>
    <row r="67" spans="1:50 16124:16124">
      <c r="B67" s="301" t="s">
        <v>606</v>
      </c>
      <c r="C67" s="301"/>
      <c r="D67" s="301"/>
      <c r="E67" s="301"/>
      <c r="F67" s="301"/>
      <c r="G67" s="301"/>
      <c r="H67" s="320"/>
      <c r="I67" s="320"/>
      <c r="J67" s="320"/>
      <c r="K67" s="320"/>
      <c r="L67" s="320"/>
      <c r="M67" s="320"/>
      <c r="N67" s="320"/>
      <c r="O67" s="320">
        <f>+O55+O63</f>
        <v>24166.666666666668</v>
      </c>
      <c r="P67" s="320">
        <f t="shared" ref="P67:Y67" si="329">+P55+P63</f>
        <v>32391.666666666668</v>
      </c>
      <c r="Q67" s="320">
        <f t="shared" si="329"/>
        <v>40616.666666666664</v>
      </c>
      <c r="R67" s="320">
        <f t="shared" si="329"/>
        <v>48841.666666666664</v>
      </c>
      <c r="S67" s="320">
        <f t="shared" si="329"/>
        <v>57066.666666666664</v>
      </c>
      <c r="T67" s="320">
        <f t="shared" si="329"/>
        <v>65283.333333333336</v>
      </c>
      <c r="U67" s="320">
        <f t="shared" si="329"/>
        <v>73500</v>
      </c>
      <c r="V67" s="320">
        <f t="shared" si="329"/>
        <v>81716.666666666672</v>
      </c>
      <c r="W67" s="320">
        <f t="shared" si="329"/>
        <v>89933.333333333328</v>
      </c>
      <c r="X67" s="320">
        <f t="shared" si="329"/>
        <v>98150</v>
      </c>
      <c r="Y67" s="320">
        <f t="shared" si="329"/>
        <v>106366.66666666667</v>
      </c>
      <c r="Z67" s="336">
        <f>+Z55+Z63</f>
        <v>114583.33333333333</v>
      </c>
      <c r="AA67" s="320">
        <f t="shared" ref="AA67:AC67" si="330">+AA55+AA63</f>
        <v>195700</v>
      </c>
      <c r="AB67" s="320">
        <f t="shared" si="330"/>
        <v>212550</v>
      </c>
      <c r="AC67" s="320">
        <f t="shared" si="330"/>
        <v>229400</v>
      </c>
      <c r="AD67" s="320">
        <f t="shared" ref="AD67:AJ67" si="331">+AD55+AD63</f>
        <v>246250</v>
      </c>
      <c r="AE67" s="320">
        <f t="shared" si="331"/>
        <v>261600</v>
      </c>
      <c r="AF67" s="320">
        <f t="shared" si="331"/>
        <v>276350</v>
      </c>
      <c r="AG67" s="320">
        <f t="shared" si="331"/>
        <v>291100</v>
      </c>
      <c r="AH67" s="320">
        <f t="shared" si="331"/>
        <v>305850</v>
      </c>
      <c r="AI67" s="320">
        <f t="shared" si="331"/>
        <v>320591.66666666669</v>
      </c>
      <c r="AJ67" s="320">
        <f t="shared" si="331"/>
        <v>335333.33333333331</v>
      </c>
      <c r="AK67" s="320">
        <f t="shared" ref="AK67:AL67" si="332">+AK55+AK63</f>
        <v>350075</v>
      </c>
      <c r="AL67" s="336">
        <f t="shared" si="332"/>
        <v>364816.66666666669</v>
      </c>
      <c r="AM67" s="320">
        <f t="shared" ref="AM67:AV67" si="333">+AM55+AM63</f>
        <v>411358.33333333331</v>
      </c>
      <c r="AN67" s="320">
        <f t="shared" si="333"/>
        <v>430625</v>
      </c>
      <c r="AO67" s="320">
        <f t="shared" si="333"/>
        <v>449891.66666666669</v>
      </c>
      <c r="AP67" s="320">
        <f t="shared" si="333"/>
        <v>469158.33333333331</v>
      </c>
      <c r="AQ67" s="320">
        <f t="shared" si="333"/>
        <v>488425</v>
      </c>
      <c r="AR67" s="320">
        <f t="shared" si="333"/>
        <v>507691.66666666669</v>
      </c>
      <c r="AS67" s="320">
        <f t="shared" si="333"/>
        <v>526950</v>
      </c>
      <c r="AT67" s="320">
        <f t="shared" si="333"/>
        <v>546208.33333333337</v>
      </c>
      <c r="AU67" s="320">
        <f t="shared" si="333"/>
        <v>565466.66666666663</v>
      </c>
      <c r="AV67" s="320">
        <f t="shared" si="333"/>
        <v>584725</v>
      </c>
      <c r="AW67" s="320">
        <f t="shared" ref="AW67:AX67" si="334">+AW55+AW63</f>
        <v>603983.33333333337</v>
      </c>
      <c r="AX67" s="320">
        <f t="shared" si="334"/>
        <v>623241.66666666663</v>
      </c>
    </row>
    <row r="68" spans="1:50 16124:16124">
      <c r="B68" s="197" t="s">
        <v>211</v>
      </c>
      <c r="C68" s="197"/>
      <c r="D68" s="197"/>
      <c r="E68" s="197"/>
      <c r="F68" s="197"/>
      <c r="G68" s="197"/>
      <c r="H68" s="219"/>
      <c r="I68" s="198"/>
      <c r="J68" s="198"/>
      <c r="K68" s="198"/>
      <c r="L68" s="198"/>
      <c r="M68" s="198"/>
      <c r="N68" s="198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249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49"/>
      <c r="AM68" s="205"/>
      <c r="AN68" s="205"/>
      <c r="AO68" s="205"/>
      <c r="AP68" s="205"/>
      <c r="AQ68" s="205"/>
      <c r="AR68" s="205"/>
      <c r="AS68" s="205"/>
      <c r="AT68" s="205"/>
      <c r="AU68" s="205"/>
      <c r="AV68" s="205"/>
      <c r="AW68" s="205"/>
      <c r="AX68" s="205"/>
    </row>
    <row r="69" spans="1:50 16124:16124">
      <c r="O69" s="79"/>
      <c r="P69" s="79"/>
      <c r="Q69" s="79"/>
      <c r="R69" s="79"/>
      <c r="S69" s="79"/>
    </row>
    <row r="70" spans="1:50 16124:16124">
      <c r="B70" s="66" t="s">
        <v>247</v>
      </c>
      <c r="C70" s="66"/>
      <c r="D70" s="66"/>
      <c r="E70" s="66"/>
      <c r="F70" s="66"/>
      <c r="G70" s="66"/>
      <c r="O70" s="79"/>
      <c r="P70" s="79"/>
      <c r="Q70" s="79"/>
      <c r="R70" s="79"/>
      <c r="S70" s="79"/>
    </row>
    <row r="72" spans="1:50 16124:16124" s="58" customFormat="1">
      <c r="A72" s="330">
        <v>2</v>
      </c>
      <c r="B72" s="301" t="s">
        <v>223</v>
      </c>
      <c r="C72" s="301"/>
      <c r="D72" s="301"/>
      <c r="E72" s="301"/>
      <c r="F72" s="301"/>
      <c r="G72" s="301"/>
      <c r="H72" s="332"/>
      <c r="I72" s="333"/>
      <c r="J72" s="333"/>
      <c r="K72" s="333"/>
      <c r="L72" s="333"/>
      <c r="M72" s="333"/>
      <c r="N72" s="333"/>
      <c r="O72" s="333">
        <f>O14</f>
        <v>1</v>
      </c>
      <c r="P72" s="333">
        <f>P14</f>
        <v>1</v>
      </c>
      <c r="Q72" s="333">
        <f>Q14</f>
        <v>1</v>
      </c>
      <c r="R72" s="333">
        <f>R14</f>
        <v>1</v>
      </c>
      <c r="S72" s="333">
        <f>S14</f>
        <v>1</v>
      </c>
      <c r="T72" s="333">
        <f>T14</f>
        <v>1</v>
      </c>
      <c r="U72" s="333">
        <f>U14</f>
        <v>1</v>
      </c>
      <c r="V72" s="333">
        <f>V14</f>
        <v>1</v>
      </c>
      <c r="W72" s="333">
        <f>W14</f>
        <v>1</v>
      </c>
      <c r="X72" s="333">
        <f>X14</f>
        <v>1</v>
      </c>
      <c r="Y72" s="333">
        <f>Y14</f>
        <v>1</v>
      </c>
      <c r="Z72" s="334">
        <f>Z14</f>
        <v>1</v>
      </c>
      <c r="AA72" s="333">
        <f>AA14</f>
        <v>2</v>
      </c>
      <c r="AB72" s="333">
        <f>AB14</f>
        <v>2</v>
      </c>
      <c r="AC72" s="333">
        <f>AC14</f>
        <v>2</v>
      </c>
      <c r="AD72" s="333">
        <f>AD14</f>
        <v>2</v>
      </c>
      <c r="AE72" s="333">
        <f>AE14</f>
        <v>2</v>
      </c>
      <c r="AF72" s="333">
        <f>AF14</f>
        <v>2</v>
      </c>
      <c r="AG72" s="333">
        <f>AG14</f>
        <v>2</v>
      </c>
      <c r="AH72" s="333">
        <f>AH14</f>
        <v>2</v>
      </c>
      <c r="AI72" s="333">
        <f>AI14</f>
        <v>2</v>
      </c>
      <c r="AJ72" s="333">
        <f>AJ14</f>
        <v>2</v>
      </c>
      <c r="AK72" s="333">
        <f>AK14</f>
        <v>2</v>
      </c>
      <c r="AL72" s="334">
        <f>AL14</f>
        <v>2</v>
      </c>
      <c r="AM72" s="333">
        <f>AM14</f>
        <v>3</v>
      </c>
      <c r="AN72" s="333">
        <f>AN14</f>
        <v>3</v>
      </c>
      <c r="AO72" s="333">
        <f>AO14</f>
        <v>3</v>
      </c>
      <c r="AP72" s="333">
        <f>AP14</f>
        <v>3</v>
      </c>
      <c r="AQ72" s="333">
        <f>AQ14</f>
        <v>3</v>
      </c>
      <c r="AR72" s="333">
        <f>AR14</f>
        <v>3</v>
      </c>
      <c r="AS72" s="333">
        <f>AS14</f>
        <v>3</v>
      </c>
      <c r="AT72" s="333">
        <f>AT14</f>
        <v>3</v>
      </c>
      <c r="AU72" s="333">
        <f>AU14</f>
        <v>3</v>
      </c>
      <c r="AV72" s="333">
        <f>AV14</f>
        <v>3</v>
      </c>
      <c r="AW72" s="333">
        <f>AW14</f>
        <v>3</v>
      </c>
      <c r="AX72" s="333">
        <f>AX14</f>
        <v>3</v>
      </c>
      <c r="WVD72" s="239"/>
    </row>
    <row r="73" spans="1:50 16124:16124">
      <c r="H73" s="137"/>
      <c r="I73" s="137"/>
      <c r="J73" s="137"/>
      <c r="K73" s="137"/>
      <c r="L73" s="137"/>
      <c r="M73" s="137"/>
      <c r="N73" s="137"/>
      <c r="O73" s="73"/>
      <c r="P73" s="79"/>
      <c r="Q73" s="79"/>
      <c r="R73" s="79"/>
      <c r="S73" s="79"/>
    </row>
    <row r="74" spans="1:50 16124:16124" ht="16" thickBot="1">
      <c r="B74" s="341" t="s">
        <v>27</v>
      </c>
      <c r="C74" s="341"/>
      <c r="D74" s="341"/>
      <c r="E74" s="341"/>
      <c r="F74" s="341"/>
      <c r="G74" s="341"/>
      <c r="H74" s="362">
        <f>'Historicals &amp; Projections'!D6</f>
        <v>2025</v>
      </c>
      <c r="I74" s="343"/>
      <c r="J74" s="343"/>
      <c r="K74" s="343"/>
      <c r="L74" s="343"/>
      <c r="M74" s="343"/>
      <c r="N74" s="343"/>
      <c r="O74" s="344">
        <f>O12</f>
        <v>46053</v>
      </c>
      <c r="P74" s="344">
        <f>P12</f>
        <v>46054</v>
      </c>
      <c r="Q74" s="344">
        <f>Q12</f>
        <v>46082</v>
      </c>
      <c r="R74" s="344">
        <f>R12</f>
        <v>46113</v>
      </c>
      <c r="S74" s="344">
        <f>S12</f>
        <v>46143</v>
      </c>
      <c r="T74" s="344">
        <f>T12</f>
        <v>46174</v>
      </c>
      <c r="U74" s="344">
        <f>U12</f>
        <v>46204</v>
      </c>
      <c r="V74" s="344">
        <f>V12</f>
        <v>46235</v>
      </c>
      <c r="W74" s="344">
        <f>W12</f>
        <v>46266</v>
      </c>
      <c r="X74" s="344">
        <f>X12</f>
        <v>46296</v>
      </c>
      <c r="Y74" s="344">
        <f>Y12</f>
        <v>46327</v>
      </c>
      <c r="Z74" s="361">
        <f>Z12</f>
        <v>46357</v>
      </c>
      <c r="AA74" s="344">
        <f>AA12</f>
        <v>46388</v>
      </c>
      <c r="AB74" s="344">
        <f>AB12</f>
        <v>46419</v>
      </c>
      <c r="AC74" s="344">
        <f>AC12</f>
        <v>46447</v>
      </c>
      <c r="AD74" s="344">
        <f>AD12</f>
        <v>46478</v>
      </c>
      <c r="AE74" s="344">
        <f>AE12</f>
        <v>46508</v>
      </c>
      <c r="AF74" s="344">
        <f>AF12</f>
        <v>46539</v>
      </c>
      <c r="AG74" s="344">
        <f>AG12</f>
        <v>46569</v>
      </c>
      <c r="AH74" s="344">
        <f>AH12</f>
        <v>46600</v>
      </c>
      <c r="AI74" s="344">
        <f>AI12</f>
        <v>46631</v>
      </c>
      <c r="AJ74" s="344">
        <f>AJ12</f>
        <v>46661</v>
      </c>
      <c r="AK74" s="344">
        <f>AK12</f>
        <v>46692</v>
      </c>
      <c r="AL74" s="361">
        <f>AL12</f>
        <v>46722</v>
      </c>
      <c r="AM74" s="344">
        <f>AM12</f>
        <v>46753</v>
      </c>
      <c r="AN74" s="344">
        <f>AN12</f>
        <v>46784</v>
      </c>
      <c r="AO74" s="344">
        <f>AO12</f>
        <v>46813</v>
      </c>
      <c r="AP74" s="344">
        <f>AP12</f>
        <v>46844</v>
      </c>
      <c r="AQ74" s="344">
        <f>AQ12</f>
        <v>46874</v>
      </c>
      <c r="AR74" s="344">
        <f>AR12</f>
        <v>46905</v>
      </c>
      <c r="AS74" s="344">
        <f>AS12</f>
        <v>46935</v>
      </c>
      <c r="AT74" s="344">
        <f>AT12</f>
        <v>46966</v>
      </c>
      <c r="AU74" s="344">
        <f>AU12</f>
        <v>46997</v>
      </c>
      <c r="AV74" s="344">
        <f>AV12</f>
        <v>47027</v>
      </c>
      <c r="AW74" s="344">
        <f>AW12</f>
        <v>47058</v>
      </c>
      <c r="AX74" s="344">
        <f>AX12</f>
        <v>47088</v>
      </c>
    </row>
    <row r="75" spans="1:50 16124:16124">
      <c r="B75" s="130"/>
      <c r="C75" s="130"/>
      <c r="D75" s="130"/>
      <c r="E75" s="130"/>
      <c r="F75" s="130"/>
      <c r="G75" s="130"/>
      <c r="H75" s="206"/>
      <c r="I75" s="206"/>
      <c r="J75" s="206"/>
      <c r="K75" s="206"/>
      <c r="L75" s="206"/>
      <c r="M75" s="206"/>
      <c r="N75" s="206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50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50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</row>
    <row r="76" spans="1:50 16124:16124" ht="16">
      <c r="B76" s="130"/>
      <c r="C76" s="130"/>
      <c r="D76" s="130"/>
      <c r="E76" s="130"/>
      <c r="F76" s="130"/>
      <c r="G76" s="130"/>
      <c r="H76" s="206"/>
      <c r="I76" s="339" t="s">
        <v>567</v>
      </c>
      <c r="J76" s="339"/>
      <c r="K76" s="339"/>
      <c r="L76" s="339"/>
      <c r="M76" s="339"/>
      <c r="N76" s="430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50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50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</row>
    <row r="77" spans="1:50 16124:16124">
      <c r="B77" s="130"/>
      <c r="C77" s="130"/>
      <c r="D77" s="130"/>
      <c r="E77" s="130"/>
      <c r="F77" s="130"/>
      <c r="G77" s="130"/>
      <c r="H77" s="206"/>
      <c r="I77" s="206"/>
      <c r="J77" s="206"/>
      <c r="K77" s="206"/>
      <c r="L77" s="206"/>
      <c r="M77" s="206"/>
      <c r="N77" s="206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50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50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</row>
    <row r="78" spans="1:50 16124:16124">
      <c r="B78" s="130"/>
      <c r="C78" s="130"/>
      <c r="D78" s="130"/>
      <c r="E78" s="130"/>
      <c r="F78" s="130"/>
      <c r="G78" s="130"/>
      <c r="H78" s="206"/>
      <c r="I78" s="45"/>
      <c r="J78" s="204">
        <f>J18</f>
        <v>2026</v>
      </c>
      <c r="K78" s="204">
        <f>K18</f>
        <v>2027</v>
      </c>
      <c r="L78" s="204">
        <f>L18</f>
        <v>2028</v>
      </c>
      <c r="M78" s="204">
        <f>M18</f>
        <v>2029</v>
      </c>
      <c r="N78" s="204">
        <f>N18</f>
        <v>2030</v>
      </c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50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50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</row>
    <row r="79" spans="1:50 16124:16124">
      <c r="B79" s="130"/>
      <c r="C79" s="130"/>
      <c r="D79" s="130"/>
      <c r="E79" s="130"/>
      <c r="F79" s="130"/>
      <c r="G79" s="130"/>
      <c r="H79" s="206"/>
      <c r="I79" s="47" t="s">
        <v>557</v>
      </c>
      <c r="J79" s="209">
        <v>5.0000000000000001E-3</v>
      </c>
      <c r="K79" s="209">
        <v>5.0000000000000001E-3</v>
      </c>
      <c r="L79" s="209">
        <v>5.0000000000000001E-3</v>
      </c>
      <c r="M79" s="209">
        <v>5.0000000000000001E-3</v>
      </c>
      <c r="N79" s="209">
        <v>0.01</v>
      </c>
      <c r="O79" s="454" cm="1">
        <f t="array" ref="O79">INDEX($J79:$N79,O72)*O52</f>
        <v>5291.6666666666661</v>
      </c>
      <c r="P79" s="454" cm="1">
        <f t="array" ref="P79">INDEX($J79:$N79,P72)*P52</f>
        <v>7247.9166666666661</v>
      </c>
      <c r="Q79" s="454" cm="1">
        <f t="array" ref="Q79">INDEX($J79:$N79,Q72)*Q52</f>
        <v>9204.1666666666661</v>
      </c>
      <c r="R79" s="454" cm="1">
        <f t="array" ref="R79">INDEX($J79:$N79,R72)*R52</f>
        <v>11160.416666666668</v>
      </c>
      <c r="S79" s="454" cm="1">
        <f t="array" ref="S79">INDEX($J79:$N79,S72)*S52</f>
        <v>13116.666666666668</v>
      </c>
      <c r="T79" s="454" cm="1">
        <f t="array" ref="T79">INDEX($J79:$N79,T72)*T52</f>
        <v>15070.833333333332</v>
      </c>
      <c r="U79" s="454" cm="1">
        <f t="array" ref="U79">INDEX($J79:$N79,U72)*U52</f>
        <v>17025</v>
      </c>
      <c r="V79" s="454" cm="1">
        <f t="array" ref="V79">INDEX($J79:$N79,V72)*V52</f>
        <v>18979.166666666668</v>
      </c>
      <c r="W79" s="454" cm="1">
        <f t="array" ref="W79">INDEX($J79:$N79,W72)*W52</f>
        <v>20933.333333333332</v>
      </c>
      <c r="X79" s="454" cm="1">
        <f t="array" ref="X79">INDEX($J79:$N79,X72)*X52</f>
        <v>22887.5</v>
      </c>
      <c r="Y79" s="454" cm="1">
        <f t="array" ref="Y79">INDEX($J79:$N79,Y72)*Y52</f>
        <v>24841.666666666664</v>
      </c>
      <c r="Z79" s="454" cm="1">
        <f t="array" ref="Z79">INDEX($J79:$N79,Z72)*Z52</f>
        <v>26795.833333333336</v>
      </c>
      <c r="AA79" s="454" cm="1">
        <f t="array" ref="AA79">INDEX($J79:$N79,AA72)*AA52</f>
        <v>45025</v>
      </c>
      <c r="AB79" s="454" cm="1">
        <f t="array" ref="AB79">INDEX($J79:$N79,AB72)*AB52</f>
        <v>49087.5</v>
      </c>
      <c r="AC79" s="454" cm="1">
        <f t="array" ref="AC79">INDEX($J79:$N79,AC72)*AC52</f>
        <v>53150</v>
      </c>
      <c r="AD79" s="454" cm="1">
        <f t="array" ref="AD79">INDEX($J79:$N79,AD72)*AD52</f>
        <v>57212.5</v>
      </c>
      <c r="AE79" s="454" cm="1">
        <f t="array" ref="AE79">INDEX($J79:$N79,AE72)*AE52</f>
        <v>60900</v>
      </c>
      <c r="AF79" s="454" cm="1">
        <f t="array" ref="AF79">INDEX($J79:$N79,AF72)*AF52</f>
        <v>64487.5</v>
      </c>
      <c r="AG79" s="454" cm="1">
        <f t="array" ref="AG79">INDEX($J79:$N79,AG72)*AG52</f>
        <v>68075</v>
      </c>
      <c r="AH79" s="454" cm="1">
        <f t="array" ref="AH79">INDEX($J79:$N79,AH72)*AH52</f>
        <v>71662.5</v>
      </c>
      <c r="AI79" s="454" cm="1">
        <f t="array" ref="AI79">INDEX($J79:$N79,AI72)*AI52</f>
        <v>75247.916666666672</v>
      </c>
      <c r="AJ79" s="454" cm="1">
        <f t="array" ref="AJ79">INDEX($J79:$N79,AJ72)*AJ52</f>
        <v>78833.333333333328</v>
      </c>
      <c r="AK79" s="454" cm="1">
        <f t="array" ref="AK79">INDEX($J79:$N79,AK72)*AK52</f>
        <v>82418.75</v>
      </c>
      <c r="AL79" s="454" cm="1">
        <f t="array" ref="AL79">INDEX($J79:$N79,AL72)*AL52</f>
        <v>86004.166666666657</v>
      </c>
      <c r="AM79" s="454" cm="1">
        <f t="array" ref="AM79">INDEX($J79:$N79,AM72)*AM52</f>
        <v>94889.583333333343</v>
      </c>
      <c r="AN79" s="454" cm="1">
        <f t="array" ref="AN79">INDEX($J79:$N79,AN72)*AN52</f>
        <v>99481.25</v>
      </c>
      <c r="AO79" s="454" cm="1">
        <f t="array" ref="AO79">INDEX($J79:$N79,AO72)*AO52</f>
        <v>104072.91666666666</v>
      </c>
      <c r="AP79" s="454" cm="1">
        <f t="array" ref="AP79">INDEX($J79:$N79,AP72)*AP52</f>
        <v>108664.58333333334</v>
      </c>
      <c r="AQ79" s="454" cm="1">
        <f t="array" ref="AQ79">INDEX($J79:$N79,AQ72)*AQ52</f>
        <v>113256.25</v>
      </c>
      <c r="AR79" s="454" cm="1">
        <f t="array" ref="AR79">INDEX($J79:$N79,AR72)*AR52</f>
        <v>117847.91666666666</v>
      </c>
      <c r="AS79" s="454" cm="1">
        <f t="array" ref="AS79">INDEX($J79:$N79,AS72)*AS52</f>
        <v>122437.5</v>
      </c>
      <c r="AT79" s="454" cm="1">
        <f t="array" ref="AT79">INDEX($J79:$N79,AT72)*AT52</f>
        <v>127027.08333333334</v>
      </c>
      <c r="AU79" s="454" cm="1">
        <f t="array" ref="AU79">INDEX($J79:$N79,AU72)*AU52</f>
        <v>131616.66666666666</v>
      </c>
      <c r="AV79" s="454" cm="1">
        <f t="array" ref="AV79">INDEX($J79:$N79,AV72)*AV52</f>
        <v>136206.25</v>
      </c>
      <c r="AW79" s="454" cm="1">
        <f t="array" ref="AW79">INDEX($J79:$N79,AW72)*AW52</f>
        <v>140795.83333333334</v>
      </c>
      <c r="AX79" s="454" cm="1">
        <f t="array" ref="AX79">INDEX($J79:$N79,AX72)*AX52</f>
        <v>145385.41666666666</v>
      </c>
    </row>
    <row r="80" spans="1:50 16124:16124" ht="16">
      <c r="B80" s="130"/>
      <c r="C80" s="130"/>
      <c r="D80" s="130"/>
      <c r="E80" s="130"/>
      <c r="F80" s="130"/>
      <c r="G80" s="130"/>
      <c r="H80" s="206"/>
      <c r="I80" s="207"/>
      <c r="J80" s="208"/>
      <c r="K80" s="206"/>
      <c r="L80" s="206"/>
      <c r="M80" s="206"/>
      <c r="N80" s="206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50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50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</row>
    <row r="81" spans="1:50">
      <c r="B81" s="130"/>
      <c r="C81" s="130"/>
      <c r="D81" s="130"/>
      <c r="E81" s="130"/>
      <c r="F81" s="130"/>
      <c r="G81" s="130"/>
      <c r="H81" s="206"/>
      <c r="I81" s="206"/>
      <c r="J81" s="206"/>
      <c r="K81" s="206"/>
      <c r="L81" s="206"/>
      <c r="M81" s="206"/>
      <c r="N81" s="206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50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50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</row>
    <row r="82" spans="1:50" ht="16">
      <c r="B82" s="130"/>
      <c r="C82" s="130"/>
      <c r="D82" s="130"/>
      <c r="E82" s="130"/>
      <c r="F82" s="130"/>
      <c r="G82" s="130"/>
      <c r="H82" s="206"/>
      <c r="I82" s="339" t="s">
        <v>560</v>
      </c>
      <c r="J82" s="339"/>
      <c r="K82" s="339"/>
      <c r="L82" s="339"/>
      <c r="M82" s="339"/>
      <c r="N82" s="430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50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50"/>
      <c r="AM82" s="204"/>
      <c r="AN82" s="204"/>
      <c r="AO82" s="204"/>
      <c r="AP82" s="204"/>
      <c r="AQ82" s="204"/>
      <c r="AR82" s="204"/>
      <c r="AS82" s="204"/>
      <c r="AT82" s="204"/>
      <c r="AU82" s="204"/>
      <c r="AV82" s="204"/>
      <c r="AW82" s="204"/>
      <c r="AX82" s="204"/>
    </row>
    <row r="83" spans="1:50">
      <c r="B83" s="130"/>
      <c r="C83" s="130"/>
      <c r="D83" s="130"/>
      <c r="E83" s="130"/>
      <c r="F83" s="130"/>
      <c r="G83" s="130"/>
      <c r="H83" s="206"/>
      <c r="I83" s="206"/>
      <c r="J83" s="206"/>
      <c r="K83" s="206"/>
      <c r="L83" s="206"/>
      <c r="M83" s="206"/>
      <c r="N83" s="206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50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50"/>
      <c r="AM83" s="204"/>
      <c r="AN83" s="204"/>
      <c r="AO83" s="204"/>
      <c r="AP83" s="204"/>
      <c r="AQ83" s="204"/>
      <c r="AR83" s="204"/>
      <c r="AS83" s="204"/>
      <c r="AT83" s="204"/>
      <c r="AU83" s="204"/>
      <c r="AV83" s="204"/>
      <c r="AW83" s="204"/>
      <c r="AX83" s="204"/>
    </row>
    <row r="84" spans="1:50">
      <c r="B84" s="130"/>
      <c r="C84" s="130"/>
      <c r="D84" s="130"/>
      <c r="E84" s="130"/>
      <c r="F84" s="130"/>
      <c r="G84" s="130"/>
      <c r="H84" s="206"/>
      <c r="I84" s="45"/>
      <c r="J84" s="204">
        <f>J18</f>
        <v>2026</v>
      </c>
      <c r="K84" s="204">
        <f t="shared" ref="K84:N84" si="335">K18</f>
        <v>2027</v>
      </c>
      <c r="L84" s="204">
        <f t="shared" si="335"/>
        <v>2028</v>
      </c>
      <c r="M84" s="204">
        <f t="shared" si="335"/>
        <v>2029</v>
      </c>
      <c r="N84" s="204">
        <f t="shared" si="335"/>
        <v>2030</v>
      </c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50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50"/>
      <c r="AM84" s="204"/>
      <c r="AN84" s="204"/>
      <c r="AO84" s="204"/>
      <c r="AP84" s="204"/>
      <c r="AQ84" s="204"/>
      <c r="AR84" s="204"/>
      <c r="AS84" s="204"/>
      <c r="AT84" s="204"/>
      <c r="AU84" s="204"/>
      <c r="AV84" s="204"/>
      <c r="AW84" s="204"/>
      <c r="AX84" s="204"/>
    </row>
    <row r="85" spans="1:50" ht="16">
      <c r="B85" s="130"/>
      <c r="C85" s="130"/>
      <c r="D85" s="130"/>
      <c r="E85" s="130"/>
      <c r="F85" s="130"/>
      <c r="G85" s="210" t="s">
        <v>561</v>
      </c>
      <c r="H85" s="209">
        <v>8.9499999999999996E-3</v>
      </c>
      <c r="I85" s="47" t="s">
        <v>559</v>
      </c>
      <c r="J85" s="209">
        <f>H85+H86+H87</f>
        <v>9.6500000000000006E-3</v>
      </c>
      <c r="K85" s="209">
        <f>J85</f>
        <v>9.6500000000000006E-3</v>
      </c>
      <c r="L85" s="209">
        <f>K85</f>
        <v>9.6500000000000006E-3</v>
      </c>
      <c r="M85" s="209">
        <f>L85</f>
        <v>9.6500000000000006E-3</v>
      </c>
      <c r="N85" s="209">
        <f>M85</f>
        <v>9.6500000000000006E-3</v>
      </c>
      <c r="O85" s="454" cm="1">
        <f t="array" ref="O85">INDEX($J85:$N85,O72)*O52</f>
        <v>10212.916666666666</v>
      </c>
      <c r="P85" s="454" cm="1">
        <f t="array" ref="P85">INDEX($J85:$N85,P72)*P52</f>
        <v>13988.479166666666</v>
      </c>
      <c r="Q85" s="454" cm="1">
        <f t="array" ref="Q85">INDEX($J85:$N85,Q72)*Q52</f>
        <v>17764.041666666668</v>
      </c>
      <c r="R85" s="454" cm="1">
        <f t="array" ref="R85">INDEX($J85:$N85,R72)*R52</f>
        <v>21539.604166666668</v>
      </c>
      <c r="S85" s="454" cm="1">
        <f t="array" ref="S85">INDEX($J85:$N85,S72)*S52</f>
        <v>25315.166666666672</v>
      </c>
      <c r="T85" s="454" cm="1">
        <f t="array" ref="T85">INDEX($J85:$N85,T72)*T52</f>
        <v>29086.708333333332</v>
      </c>
      <c r="U85" s="454" cm="1">
        <f t="array" ref="U85">INDEX($J85:$N85,U72)*U52</f>
        <v>32858.25</v>
      </c>
      <c r="V85" s="454" cm="1">
        <f t="array" ref="V85">INDEX($J85:$N85,V72)*V52</f>
        <v>36629.791666666672</v>
      </c>
      <c r="W85" s="454" cm="1">
        <f t="array" ref="W85">INDEX($J85:$N85,W72)*W52</f>
        <v>40401.333333333336</v>
      </c>
      <c r="X85" s="454" cm="1">
        <f t="array" ref="X85">INDEX($J85:$N85,X72)*X52</f>
        <v>44172.875</v>
      </c>
      <c r="Y85" s="454" cm="1">
        <f t="array" ref="Y85">INDEX($J85:$N85,Y72)*Y52</f>
        <v>47944.416666666664</v>
      </c>
      <c r="Z85" s="454" cm="1">
        <f t="array" ref="Z85">INDEX($J85:$N85,Z72)*Z52</f>
        <v>51715.958333333343</v>
      </c>
      <c r="AA85" s="454" cm="1">
        <f t="array" ref="AA85">INDEX($J85:$N85,AA72)*AA52</f>
        <v>86898.25</v>
      </c>
      <c r="AB85" s="454" cm="1">
        <f t="array" ref="AB85">INDEX($J85:$N85,AB72)*AB52</f>
        <v>94738.875</v>
      </c>
      <c r="AC85" s="454" cm="1">
        <f t="array" ref="AC85">INDEX($J85:$N85,AC72)*AC52</f>
        <v>102579.5</v>
      </c>
      <c r="AD85" s="454" cm="1">
        <f t="array" ref="AD85">INDEX($J85:$N85,AD72)*AD52</f>
        <v>110420.125</v>
      </c>
      <c r="AE85" s="454" cm="1">
        <f t="array" ref="AE85">INDEX($J85:$N85,AE72)*AE52</f>
        <v>117537</v>
      </c>
      <c r="AF85" s="454" cm="1">
        <f t="array" ref="AF85">INDEX($J85:$N85,AF72)*AF52</f>
        <v>124460.87500000001</v>
      </c>
      <c r="AG85" s="454" cm="1">
        <f t="array" ref="AG85">INDEX($J85:$N85,AG72)*AG52</f>
        <v>131384.75</v>
      </c>
      <c r="AH85" s="454" cm="1">
        <f t="array" ref="AH85">INDEX($J85:$N85,AH72)*AH52</f>
        <v>138308.625</v>
      </c>
      <c r="AI85" s="454" cm="1">
        <f t="array" ref="AI85">INDEX($J85:$N85,AI72)*AI52</f>
        <v>145228.47916666669</v>
      </c>
      <c r="AJ85" s="454" cm="1">
        <f t="array" ref="AJ85">INDEX($J85:$N85,AJ72)*AJ52</f>
        <v>152148.33333333334</v>
      </c>
      <c r="AK85" s="454" cm="1">
        <f t="array" ref="AK85">INDEX($J85:$N85,AK72)*AK52</f>
        <v>159068.1875</v>
      </c>
      <c r="AL85" s="454" cm="1">
        <f t="array" ref="AL85">INDEX($J85:$N85,AL72)*AL52</f>
        <v>165988.04166666666</v>
      </c>
      <c r="AM85" s="454" cm="1">
        <f t="array" ref="AM85">INDEX($J85:$N85,AM72)*AM52</f>
        <v>183136.89583333334</v>
      </c>
      <c r="AN85" s="454" cm="1">
        <f t="array" ref="AN85">INDEX($J85:$N85,AN72)*AN52</f>
        <v>191998.8125</v>
      </c>
      <c r="AO85" s="454" cm="1">
        <f t="array" ref="AO85">INDEX($J85:$N85,AO72)*AO52</f>
        <v>200860.72916666666</v>
      </c>
      <c r="AP85" s="454" cm="1">
        <f t="array" ref="AP85">INDEX($J85:$N85,AP72)*AP52</f>
        <v>209722.64583333337</v>
      </c>
      <c r="AQ85" s="454" cm="1">
        <f t="array" ref="AQ85">INDEX($J85:$N85,AQ72)*AQ52</f>
        <v>218584.5625</v>
      </c>
      <c r="AR85" s="454" cm="1">
        <f t="array" ref="AR85">INDEX($J85:$N85,AR72)*AR52</f>
        <v>227446.47916666666</v>
      </c>
      <c r="AS85" s="454" cm="1">
        <f t="array" ref="AS85">INDEX($J85:$N85,AS72)*AS52</f>
        <v>236304.375</v>
      </c>
      <c r="AT85" s="454" cm="1">
        <f t="array" ref="AT85">INDEX($J85:$N85,AT72)*AT52</f>
        <v>245162.27083333337</v>
      </c>
      <c r="AU85" s="454" cm="1">
        <f t="array" ref="AU85">INDEX($J85:$N85,AU72)*AU52</f>
        <v>254020.16666666666</v>
      </c>
      <c r="AV85" s="454" cm="1">
        <f t="array" ref="AV85">INDEX($J85:$N85,AV72)*AV52</f>
        <v>262878.0625</v>
      </c>
      <c r="AW85" s="454" cm="1">
        <f t="array" ref="AW85">INDEX($J85:$N85,AW72)*AW52</f>
        <v>271735.95833333337</v>
      </c>
      <c r="AX85" s="454" cm="1">
        <f t="array" ref="AX85">INDEX($J85:$N85,AX72)*AX52</f>
        <v>280593.85416666669</v>
      </c>
    </row>
    <row r="86" spans="1:50" ht="34" customHeight="1">
      <c r="B86" s="130"/>
      <c r="C86" s="130"/>
      <c r="D86" s="130"/>
      <c r="E86" s="130"/>
      <c r="F86" s="130"/>
      <c r="G86" s="210" t="s">
        <v>558</v>
      </c>
      <c r="H86" s="225">
        <v>5.0000000000000001E-4</v>
      </c>
      <c r="I86" s="206"/>
      <c r="J86" s="206"/>
      <c r="K86" s="206"/>
      <c r="L86" s="206"/>
      <c r="M86" s="206"/>
      <c r="N86" s="206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50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50"/>
      <c r="AM86" s="204"/>
      <c r="AN86" s="204"/>
      <c r="AO86" s="204"/>
      <c r="AP86" s="204"/>
      <c r="AQ86" s="204"/>
      <c r="AR86" s="204"/>
      <c r="AS86" s="204"/>
      <c r="AT86" s="204"/>
      <c r="AU86" s="204"/>
      <c r="AV86" s="204"/>
      <c r="AW86" s="204"/>
      <c r="AX86" s="204"/>
    </row>
    <row r="87" spans="1:50" ht="30" customHeight="1">
      <c r="B87" s="130"/>
      <c r="C87" s="130"/>
      <c r="D87" s="130"/>
      <c r="E87" s="130"/>
      <c r="F87" s="130"/>
      <c r="G87" s="210" t="s">
        <v>563</v>
      </c>
      <c r="H87" s="225">
        <v>2.0000000000000001E-4</v>
      </c>
      <c r="I87" s="206"/>
      <c r="J87" s="206"/>
      <c r="K87" s="206"/>
      <c r="L87" s="206"/>
      <c r="M87" s="206"/>
      <c r="N87" s="206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50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50"/>
      <c r="AM87" s="204"/>
      <c r="AN87" s="204"/>
      <c r="AO87" s="204"/>
      <c r="AP87" s="204"/>
      <c r="AQ87" s="204"/>
      <c r="AR87" s="204"/>
      <c r="AS87" s="204"/>
      <c r="AT87" s="204"/>
      <c r="AU87" s="204"/>
      <c r="AV87" s="204"/>
      <c r="AW87" s="204"/>
      <c r="AX87" s="204"/>
    </row>
    <row r="88" spans="1:50">
      <c r="B88" s="130"/>
      <c r="C88" s="130"/>
      <c r="D88" s="130"/>
      <c r="E88" s="130"/>
      <c r="F88" s="130"/>
      <c r="G88" s="130"/>
      <c r="H88" s="206"/>
      <c r="I88" s="206"/>
      <c r="J88" s="206"/>
      <c r="K88" s="206"/>
      <c r="L88" s="206"/>
      <c r="M88" s="206"/>
      <c r="N88" s="206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50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50"/>
      <c r="AM88" s="204"/>
      <c r="AN88" s="204"/>
      <c r="AO88" s="204"/>
      <c r="AP88" s="204"/>
      <c r="AQ88" s="204"/>
      <c r="AR88" s="204"/>
      <c r="AS88" s="204"/>
      <c r="AT88" s="204"/>
      <c r="AU88" s="204"/>
      <c r="AV88" s="204"/>
      <c r="AW88" s="204"/>
      <c r="AX88" s="204"/>
    </row>
    <row r="89" spans="1:50" s="73" customFormat="1">
      <c r="A89" s="59"/>
      <c r="B89" s="431" t="s">
        <v>573</v>
      </c>
      <c r="C89" s="432"/>
      <c r="D89" s="432"/>
      <c r="E89" s="432"/>
      <c r="F89" s="432"/>
      <c r="G89" s="432"/>
      <c r="H89" s="433"/>
      <c r="I89" s="433"/>
      <c r="J89" s="433"/>
      <c r="K89" s="433"/>
      <c r="L89" s="433"/>
      <c r="M89" s="433"/>
      <c r="N89" s="433"/>
      <c r="O89" s="175">
        <f t="shared" ref="O89:Y89" si="336">SUM(O75:O88)</f>
        <v>15504.583333333332</v>
      </c>
      <c r="P89" s="175">
        <f t="shared" si="336"/>
        <v>21236.395833333332</v>
      </c>
      <c r="Q89" s="175">
        <f t="shared" si="336"/>
        <v>26968.208333333336</v>
      </c>
      <c r="R89" s="175">
        <f t="shared" si="336"/>
        <v>32700.020833333336</v>
      </c>
      <c r="S89" s="175">
        <f t="shared" si="336"/>
        <v>38431.833333333343</v>
      </c>
      <c r="T89" s="175">
        <f t="shared" si="336"/>
        <v>44157.541666666664</v>
      </c>
      <c r="U89" s="175">
        <f t="shared" si="336"/>
        <v>49883.25</v>
      </c>
      <c r="V89" s="175">
        <f t="shared" si="336"/>
        <v>55608.958333333343</v>
      </c>
      <c r="W89" s="175">
        <f t="shared" si="336"/>
        <v>61334.666666666672</v>
      </c>
      <c r="X89" s="175">
        <f t="shared" si="336"/>
        <v>67060.375</v>
      </c>
      <c r="Y89" s="175">
        <f t="shared" si="336"/>
        <v>72786.083333333328</v>
      </c>
      <c r="Z89" s="252">
        <f>SUM(Z75:Z88)</f>
        <v>78511.791666666686</v>
      </c>
      <c r="AA89" s="175">
        <f t="shared" ref="AA89:AC89" si="337">SUM(AA75:AA88)</f>
        <v>131923.25</v>
      </c>
      <c r="AB89" s="175">
        <f t="shared" si="337"/>
        <v>143826.375</v>
      </c>
      <c r="AC89" s="175">
        <f t="shared" si="337"/>
        <v>155729.5</v>
      </c>
      <c r="AD89" s="175">
        <f t="shared" ref="AD89" si="338">SUM(AD75:AD88)</f>
        <v>167632.625</v>
      </c>
      <c r="AE89" s="175">
        <f t="shared" ref="AE89" si="339">SUM(AE75:AE88)</f>
        <v>178437</v>
      </c>
      <c r="AF89" s="175">
        <f>SUM(AF75:AF88)</f>
        <v>188948.375</v>
      </c>
      <c r="AG89" s="175">
        <f t="shared" ref="AG89" si="340">SUM(AG75:AG88)</f>
        <v>199459.75</v>
      </c>
      <c r="AH89" s="175">
        <f t="shared" ref="AH89" si="341">SUM(AH75:AH88)</f>
        <v>209971.125</v>
      </c>
      <c r="AI89" s="175">
        <f t="shared" ref="AI89" si="342">SUM(AI75:AI88)</f>
        <v>220476.39583333337</v>
      </c>
      <c r="AJ89" s="175">
        <f t="shared" ref="AJ89" si="343">SUM(AJ75:AJ88)</f>
        <v>230981.66666666669</v>
      </c>
      <c r="AK89" s="175">
        <f t="shared" ref="AK89" si="344">SUM(AK75:AK88)</f>
        <v>241486.9375</v>
      </c>
      <c r="AL89" s="252">
        <f t="shared" ref="AL89" si="345">SUM(AL75:AL88)</f>
        <v>251992.20833333331</v>
      </c>
      <c r="AM89" s="175">
        <f t="shared" ref="AM89" si="346">SUM(AM75:AM88)</f>
        <v>278026.47916666669</v>
      </c>
      <c r="AN89" s="175">
        <f t="shared" ref="AN89" si="347">SUM(AN75:AN88)</f>
        <v>291480.0625</v>
      </c>
      <c r="AO89" s="175">
        <f t="shared" ref="AO89" si="348">SUM(AO75:AO88)</f>
        <v>304933.64583333331</v>
      </c>
      <c r="AP89" s="175">
        <f t="shared" ref="AP89" si="349">SUM(AP75:AP88)</f>
        <v>318387.22916666674</v>
      </c>
      <c r="AQ89" s="175">
        <f t="shared" ref="AQ89" si="350">SUM(AQ75:AQ88)</f>
        <v>331840.8125</v>
      </c>
      <c r="AR89" s="175">
        <f t="shared" ref="AR89" si="351">SUM(AR75:AR88)</f>
        <v>345294.39583333331</v>
      </c>
      <c r="AS89" s="175">
        <f t="shared" ref="AS89" si="352">SUM(AS75:AS88)</f>
        <v>358741.875</v>
      </c>
      <c r="AT89" s="175">
        <f t="shared" ref="AT89" si="353">SUM(AT75:AT88)</f>
        <v>372189.35416666674</v>
      </c>
      <c r="AU89" s="175">
        <f t="shared" ref="AU89" si="354">SUM(AU75:AU88)</f>
        <v>385636.83333333331</v>
      </c>
      <c r="AV89" s="175">
        <f t="shared" ref="AV89" si="355">SUM(AV75:AV88)</f>
        <v>399084.3125</v>
      </c>
      <c r="AW89" s="175">
        <f t="shared" ref="AW89" si="356">SUM(AW75:AW88)</f>
        <v>412531.79166666674</v>
      </c>
      <c r="AX89" s="175">
        <f t="shared" ref="AX89" si="357">SUM(AX75:AX88)</f>
        <v>425979.27083333337</v>
      </c>
    </row>
    <row r="90" spans="1:50">
      <c r="B90" s="130"/>
      <c r="C90" s="130"/>
      <c r="D90" s="130"/>
      <c r="E90" s="130"/>
      <c r="F90" s="130"/>
      <c r="G90" s="130"/>
      <c r="H90" s="206"/>
      <c r="I90" s="206"/>
      <c r="J90" s="206"/>
      <c r="K90" s="206"/>
      <c r="L90" s="206"/>
      <c r="M90" s="206"/>
      <c r="N90" s="206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50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50"/>
      <c r="AM90" s="204"/>
      <c r="AN90" s="204"/>
      <c r="AO90" s="204"/>
      <c r="AP90" s="204"/>
      <c r="AQ90" s="204"/>
      <c r="AR90" s="204"/>
      <c r="AS90" s="204"/>
      <c r="AT90" s="204"/>
      <c r="AU90" s="204"/>
      <c r="AV90" s="204"/>
      <c r="AW90" s="204"/>
      <c r="AX90" s="204"/>
    </row>
    <row r="91" spans="1:50" ht="16">
      <c r="B91" s="130"/>
      <c r="C91" s="130"/>
      <c r="D91" s="130"/>
      <c r="E91" s="130"/>
      <c r="F91" s="130"/>
      <c r="G91" s="130"/>
      <c r="H91" s="206"/>
      <c r="I91" s="339" t="s">
        <v>564</v>
      </c>
      <c r="J91" s="339"/>
      <c r="K91" s="339"/>
      <c r="L91" s="339"/>
      <c r="M91" s="339"/>
      <c r="N91" s="430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50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50"/>
      <c r="AM91" s="204"/>
      <c r="AN91" s="204"/>
      <c r="AO91" s="204"/>
      <c r="AP91" s="204"/>
      <c r="AQ91" s="204"/>
      <c r="AR91" s="204"/>
      <c r="AS91" s="204"/>
      <c r="AT91" s="204"/>
      <c r="AU91" s="204"/>
      <c r="AV91" s="204"/>
      <c r="AW91" s="204"/>
      <c r="AX91" s="204"/>
    </row>
    <row r="92" spans="1:50">
      <c r="B92" s="130"/>
      <c r="C92" s="130"/>
      <c r="D92" s="130"/>
      <c r="E92" s="130"/>
      <c r="F92" s="130"/>
      <c r="G92" s="130"/>
      <c r="H92" s="206"/>
      <c r="I92" s="206"/>
      <c r="J92" s="206"/>
      <c r="K92" s="206"/>
      <c r="L92" s="206"/>
      <c r="M92" s="206"/>
      <c r="N92" s="206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50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50"/>
      <c r="AM92" s="204"/>
      <c r="AN92" s="204"/>
      <c r="AO92" s="204"/>
      <c r="AP92" s="204"/>
      <c r="AQ92" s="204"/>
      <c r="AR92" s="204"/>
      <c r="AS92" s="204"/>
      <c r="AT92" s="204"/>
      <c r="AU92" s="204"/>
      <c r="AV92" s="204"/>
      <c r="AW92" s="204"/>
      <c r="AX92" s="204"/>
    </row>
    <row r="93" spans="1:50">
      <c r="B93" s="130"/>
      <c r="C93" s="130"/>
      <c r="D93" s="130"/>
      <c r="E93" s="130"/>
      <c r="F93" s="130"/>
      <c r="G93" s="130"/>
      <c r="H93" s="206"/>
      <c r="I93" s="45" t="s">
        <v>566</v>
      </c>
      <c r="J93" s="204">
        <f>J18</f>
        <v>2026</v>
      </c>
      <c r="K93" s="204">
        <f>K18</f>
        <v>2027</v>
      </c>
      <c r="L93" s="204">
        <f>L18</f>
        <v>2028</v>
      </c>
      <c r="M93" s="204">
        <f>M18</f>
        <v>2029</v>
      </c>
      <c r="N93" s="204">
        <f>N18</f>
        <v>2030</v>
      </c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50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50"/>
      <c r="AM93" s="204"/>
      <c r="AN93" s="204"/>
      <c r="AO93" s="204"/>
      <c r="AP93" s="204"/>
      <c r="AQ93" s="204"/>
      <c r="AR93" s="204"/>
      <c r="AS93" s="204"/>
      <c r="AT93" s="204"/>
      <c r="AU93" s="204"/>
      <c r="AV93" s="204"/>
      <c r="AW93" s="204"/>
      <c r="AX93" s="204"/>
    </row>
    <row r="94" spans="1:50" s="73" customFormat="1">
      <c r="A94" s="59"/>
      <c r="B94" s="130"/>
      <c r="C94" s="130"/>
      <c r="D94" s="130"/>
      <c r="E94" s="130"/>
      <c r="F94" s="130"/>
      <c r="G94" s="130"/>
      <c r="H94" s="206"/>
      <c r="I94" s="47" t="s">
        <v>565</v>
      </c>
      <c r="J94" s="228">
        <v>10</v>
      </c>
      <c r="K94" s="228">
        <v>15</v>
      </c>
      <c r="L94" s="228">
        <v>20</v>
      </c>
      <c r="M94" s="211">
        <v>20</v>
      </c>
      <c r="N94" s="211">
        <v>21</v>
      </c>
      <c r="O94" s="454" cm="1">
        <f t="array" ref="O94">INDEX($J94:$N94,O72)*O51</f>
        <v>150</v>
      </c>
      <c r="P94" s="454" cm="1">
        <f t="array" ref="P94">INDEX($J94:$N94,P72)*P51</f>
        <v>150</v>
      </c>
      <c r="Q94" s="454" cm="1">
        <f t="array" ref="Q94">INDEX($J94:$N94,Q72)*Q51</f>
        <v>150</v>
      </c>
      <c r="R94" s="454" cm="1">
        <f t="array" ref="R94">INDEX($J94:$N94,R72)*R51</f>
        <v>150</v>
      </c>
      <c r="S94" s="454" cm="1">
        <f t="array" ref="S94">INDEX($J94:$N94,S72)*S51</f>
        <v>150</v>
      </c>
      <c r="T94" s="454" cm="1">
        <f t="array" ref="T94">INDEX($J94:$N94,T72)*T51</f>
        <v>150</v>
      </c>
      <c r="U94" s="454" cm="1">
        <f t="array" ref="U94">INDEX($J94:$N94,U72)*U51</f>
        <v>150</v>
      </c>
      <c r="V94" s="454" cm="1">
        <f t="array" ref="V94">INDEX($J94:$N94,V72)*V51</f>
        <v>150</v>
      </c>
      <c r="W94" s="454" cm="1">
        <f t="array" ref="W94">INDEX($J94:$N94,W72)*W51</f>
        <v>150</v>
      </c>
      <c r="X94" s="454" cm="1">
        <f t="array" ref="X94">INDEX($J94:$N94,X72)*X51</f>
        <v>150</v>
      </c>
      <c r="Y94" s="454" cm="1">
        <f t="array" ref="Y94">INDEX($J94:$N94,Y72)*Y51</f>
        <v>150</v>
      </c>
      <c r="Z94" s="454" cm="1">
        <f t="array" ref="Z94">INDEX($J94:$N94,Z72)*Z51</f>
        <v>150</v>
      </c>
      <c r="AA94" s="454" cm="1">
        <f t="array" ref="AA94">INDEX($J94:$N94,AA72)*AA51</f>
        <v>315</v>
      </c>
      <c r="AB94" s="454" cm="1">
        <f t="array" ref="AB94">INDEX($J94:$N94,AB72)*AB51</f>
        <v>315</v>
      </c>
      <c r="AC94" s="454" cm="1">
        <f t="array" ref="AC94">INDEX($J94:$N94,AC72)*AC51</f>
        <v>315</v>
      </c>
      <c r="AD94" s="454" cm="1">
        <f t="array" ref="AD94">INDEX($J94:$N94,AD72)*AD51</f>
        <v>315</v>
      </c>
      <c r="AE94" s="454" cm="1">
        <f t="array" ref="AE94">INDEX($J94:$N94,AE72)*AE51</f>
        <v>315</v>
      </c>
      <c r="AF94" s="454" cm="1">
        <f t="array" ref="AF94">INDEX($J94:$N94,AF72)*AF51</f>
        <v>315</v>
      </c>
      <c r="AG94" s="454" cm="1">
        <f t="array" ref="AG94">INDEX($J94:$N94,AG72)*AG51</f>
        <v>315</v>
      </c>
      <c r="AH94" s="454" cm="1">
        <f t="array" ref="AH94">INDEX($J94:$N94,AH72)*AH51</f>
        <v>315</v>
      </c>
      <c r="AI94" s="454" cm="1">
        <f t="array" ref="AI94">INDEX($J94:$N94,AI72)*AI51</f>
        <v>315</v>
      </c>
      <c r="AJ94" s="454" cm="1">
        <f t="array" ref="AJ94">INDEX($J94:$N94,AJ72)*AJ51</f>
        <v>315</v>
      </c>
      <c r="AK94" s="454" cm="1">
        <f t="array" ref="AK94">INDEX($J94:$N94,AK72)*AK51</f>
        <v>315</v>
      </c>
      <c r="AL94" s="454" cm="1">
        <f t="array" ref="AL94">INDEX($J94:$N94,AL72)*AL51</f>
        <v>315</v>
      </c>
      <c r="AM94" s="454" cm="1">
        <f t="array" ref="AM94">INDEX($J94:$N94,AM72)*AM51</f>
        <v>540</v>
      </c>
      <c r="AN94" s="454" cm="1">
        <f t="array" ref="AN94">INDEX($J94:$N94,AN72)*AN51</f>
        <v>540</v>
      </c>
      <c r="AO94" s="454" cm="1">
        <f t="array" ref="AO94">INDEX($J94:$N94,AO72)*AO51</f>
        <v>540</v>
      </c>
      <c r="AP94" s="454" cm="1">
        <f t="array" ref="AP94">INDEX($J94:$N94,AP72)*AP51</f>
        <v>540</v>
      </c>
      <c r="AQ94" s="454" cm="1">
        <f t="array" ref="AQ94">INDEX($J94:$N94,AQ72)*AQ51</f>
        <v>540</v>
      </c>
      <c r="AR94" s="454" cm="1">
        <f t="array" ref="AR94">INDEX($J94:$N94,AR72)*AR51</f>
        <v>540</v>
      </c>
      <c r="AS94" s="454" cm="1">
        <f t="array" ref="AS94">INDEX($J94:$N94,AS72)*AS51</f>
        <v>540</v>
      </c>
      <c r="AT94" s="454" cm="1">
        <f t="array" ref="AT94">INDEX($J94:$N94,AT72)*AT51</f>
        <v>540</v>
      </c>
      <c r="AU94" s="454" cm="1">
        <f t="array" ref="AU94">INDEX($J94:$N94,AU72)*AU51</f>
        <v>540</v>
      </c>
      <c r="AV94" s="454" cm="1">
        <f t="array" ref="AV94">INDEX($J94:$N94,AV72)*AV51</f>
        <v>540</v>
      </c>
      <c r="AW94" s="454" cm="1">
        <f t="array" ref="AW94">INDEX($J94:$N94,AW72)*AW51</f>
        <v>540</v>
      </c>
      <c r="AX94" s="454" cm="1">
        <f t="array" ref="AX94">INDEX($J94:$N94,AX72)*AX51</f>
        <v>540</v>
      </c>
    </row>
    <row r="95" spans="1:50">
      <c r="B95" s="130"/>
      <c r="C95" s="130"/>
      <c r="D95" s="130"/>
      <c r="E95" s="130"/>
      <c r="F95" s="130"/>
      <c r="G95" s="130"/>
      <c r="H95" s="206"/>
      <c r="I95" s="16"/>
      <c r="J95" s="16"/>
      <c r="K95" s="16"/>
      <c r="L95" s="16"/>
      <c r="M95" s="16"/>
      <c r="N95" s="206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50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50"/>
      <c r="AM95" s="204"/>
      <c r="AN95" s="204"/>
      <c r="AO95" s="204"/>
      <c r="AP95" s="204"/>
      <c r="AQ95" s="204"/>
      <c r="AR95" s="204"/>
      <c r="AS95" s="204"/>
      <c r="AT95" s="204"/>
      <c r="AU95" s="204"/>
      <c r="AV95" s="204"/>
      <c r="AW95" s="204"/>
      <c r="AX95" s="204"/>
    </row>
    <row r="96" spans="1:50" ht="16">
      <c r="B96" s="130"/>
      <c r="C96" s="130"/>
      <c r="D96" s="130"/>
      <c r="E96" s="130"/>
      <c r="F96" s="130"/>
      <c r="G96" s="130"/>
      <c r="H96" s="206"/>
      <c r="I96" s="339" t="s">
        <v>555</v>
      </c>
      <c r="J96" s="339"/>
      <c r="K96" s="339"/>
      <c r="L96" s="339"/>
      <c r="M96" s="339"/>
      <c r="N96" s="430"/>
      <c r="O96" s="204"/>
      <c r="P96" s="204"/>
      <c r="Q96" s="16"/>
      <c r="R96" s="204"/>
      <c r="S96" s="204"/>
      <c r="T96" s="204"/>
      <c r="U96" s="204"/>
      <c r="V96" s="204"/>
      <c r="W96" s="204"/>
      <c r="X96" s="204"/>
      <c r="Y96" s="204"/>
      <c r="Z96" s="250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50"/>
      <c r="AM96" s="204"/>
      <c r="AN96" s="204"/>
      <c r="AO96" s="204"/>
      <c r="AP96" s="204"/>
      <c r="AQ96" s="204"/>
      <c r="AR96" s="204"/>
      <c r="AS96" s="204"/>
      <c r="AT96" s="204"/>
      <c r="AU96" s="204"/>
      <c r="AV96" s="204"/>
      <c r="AW96" s="204"/>
      <c r="AX96" s="204"/>
    </row>
    <row r="97" spans="1:50">
      <c r="B97" s="130"/>
      <c r="C97" s="130"/>
      <c r="D97" s="130"/>
      <c r="E97" s="130"/>
      <c r="F97" s="130"/>
      <c r="G97" s="130"/>
      <c r="H97" s="206"/>
      <c r="I97" s="206"/>
      <c r="J97" s="206"/>
      <c r="K97" s="206"/>
      <c r="L97" s="206"/>
      <c r="M97" s="206"/>
      <c r="N97" s="206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50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50"/>
      <c r="AM97" s="204"/>
      <c r="AN97" s="204"/>
      <c r="AO97" s="204"/>
      <c r="AP97" s="204"/>
      <c r="AQ97" s="204"/>
      <c r="AR97" s="204"/>
      <c r="AS97" s="204"/>
      <c r="AT97" s="204"/>
      <c r="AU97" s="204"/>
      <c r="AV97" s="204"/>
      <c r="AW97" s="204"/>
      <c r="AX97" s="204"/>
    </row>
    <row r="98" spans="1:50">
      <c r="B98" s="130"/>
      <c r="C98" s="130"/>
      <c r="D98" s="130"/>
      <c r="E98" s="130"/>
      <c r="F98" s="130"/>
      <c r="G98" s="130"/>
      <c r="H98" s="206"/>
      <c r="I98" s="45" t="s">
        <v>556</v>
      </c>
      <c r="J98" s="204">
        <f>J18</f>
        <v>2026</v>
      </c>
      <c r="K98" s="204">
        <f>K18</f>
        <v>2027</v>
      </c>
      <c r="L98" s="204">
        <f>L18</f>
        <v>2028</v>
      </c>
      <c r="M98" s="204">
        <f>M18</f>
        <v>2029</v>
      </c>
      <c r="N98" s="204">
        <f>N18</f>
        <v>2030</v>
      </c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50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50"/>
      <c r="AM98" s="204"/>
      <c r="AN98" s="204"/>
      <c r="AO98" s="204"/>
      <c r="AP98" s="204"/>
      <c r="AQ98" s="204"/>
      <c r="AR98" s="204"/>
      <c r="AS98" s="204"/>
      <c r="AT98" s="204"/>
      <c r="AU98" s="204"/>
      <c r="AV98" s="204"/>
      <c r="AW98" s="204"/>
      <c r="AX98" s="204"/>
    </row>
    <row r="99" spans="1:50" s="73" customFormat="1">
      <c r="A99" s="59"/>
      <c r="B99" s="130"/>
      <c r="C99" s="130"/>
      <c r="D99" s="130"/>
      <c r="E99" s="130"/>
      <c r="F99" s="130"/>
      <c r="G99" s="130"/>
      <c r="H99" s="206"/>
      <c r="I99" s="47" t="s">
        <v>554</v>
      </c>
      <c r="J99" s="49">
        <v>50</v>
      </c>
      <c r="K99" s="49">
        <v>50</v>
      </c>
      <c r="L99" s="49">
        <v>50</v>
      </c>
      <c r="M99" s="49">
        <v>50</v>
      </c>
      <c r="N99" s="49">
        <v>51</v>
      </c>
      <c r="O99" s="454" cm="1">
        <f t="array" ref="O99">INDEX($J99:$N99,O72)*O51</f>
        <v>750</v>
      </c>
      <c r="P99" s="454" cm="1">
        <f t="array" ref="P99">INDEX($J99:$N99,P72)*P51</f>
        <v>750</v>
      </c>
      <c r="Q99" s="454" cm="1">
        <f t="array" ref="Q99">INDEX($J99:$N99,Q72)*Q51</f>
        <v>750</v>
      </c>
      <c r="R99" s="454" cm="1">
        <f t="array" ref="R99">INDEX($J99:$N99,R72)*R51</f>
        <v>750</v>
      </c>
      <c r="S99" s="454" cm="1">
        <f t="array" ref="S99">INDEX($J99:$N99,S72)*S51</f>
        <v>750</v>
      </c>
      <c r="T99" s="454" cm="1">
        <f t="array" ref="T99">INDEX($J99:$N99,T72)*T51</f>
        <v>750</v>
      </c>
      <c r="U99" s="454" cm="1">
        <f t="array" ref="U99">INDEX($J99:$N99,U72)*U51</f>
        <v>750</v>
      </c>
      <c r="V99" s="454" cm="1">
        <f t="array" ref="V99">INDEX($J99:$N99,V72)*V51</f>
        <v>750</v>
      </c>
      <c r="W99" s="454" cm="1">
        <f t="array" ref="W99">INDEX($J99:$N99,W72)*W51</f>
        <v>750</v>
      </c>
      <c r="X99" s="454" cm="1">
        <f t="array" ref="X99">INDEX($J99:$N99,X72)*X51</f>
        <v>750</v>
      </c>
      <c r="Y99" s="454" cm="1">
        <f t="array" ref="Y99">INDEX($J99:$N99,Y72)*Y51</f>
        <v>750</v>
      </c>
      <c r="Z99" s="454" cm="1">
        <f t="array" ref="Z99">INDEX($J99:$N99,Z72)*Z51</f>
        <v>750</v>
      </c>
      <c r="AA99" s="454" cm="1">
        <f t="array" ref="AA99">INDEX($J99:$N99,AA72)*AA51</f>
        <v>1050</v>
      </c>
      <c r="AB99" s="454" cm="1">
        <f t="array" ref="AB99">INDEX($J99:$N99,AB72)*AB51</f>
        <v>1050</v>
      </c>
      <c r="AC99" s="454" cm="1">
        <f t="array" ref="AC99">INDEX($J99:$N99,AC72)*AC51</f>
        <v>1050</v>
      </c>
      <c r="AD99" s="454" cm="1">
        <f t="array" ref="AD99">INDEX($J99:$N99,AD72)*AD51</f>
        <v>1050</v>
      </c>
      <c r="AE99" s="454" cm="1">
        <f t="array" ref="AE99">INDEX($J99:$N99,AE72)*AE51</f>
        <v>1050</v>
      </c>
      <c r="AF99" s="454" cm="1">
        <f t="array" ref="AF99">INDEX($J99:$N99,AF72)*AF51</f>
        <v>1050</v>
      </c>
      <c r="AG99" s="454" cm="1">
        <f t="array" ref="AG99">INDEX($J99:$N99,AG72)*AG51</f>
        <v>1050</v>
      </c>
      <c r="AH99" s="454" cm="1">
        <f t="array" ref="AH99">INDEX($J99:$N99,AH72)*AH51</f>
        <v>1050</v>
      </c>
      <c r="AI99" s="454" cm="1">
        <f t="array" ref="AI99">INDEX($J99:$N99,AI72)*AI51</f>
        <v>1050</v>
      </c>
      <c r="AJ99" s="454" cm="1">
        <f t="array" ref="AJ99">INDEX($J99:$N99,AJ72)*AJ51</f>
        <v>1050</v>
      </c>
      <c r="AK99" s="454" cm="1">
        <f t="array" ref="AK99">INDEX($J99:$N99,AK72)*AK51</f>
        <v>1050</v>
      </c>
      <c r="AL99" s="454" cm="1">
        <f t="array" ref="AL99">INDEX($J99:$N99,AL72)*AL51</f>
        <v>1050</v>
      </c>
      <c r="AM99" s="454" cm="1">
        <f t="array" ref="AM99">INDEX($J99:$N99,AM72)*AM51</f>
        <v>1350</v>
      </c>
      <c r="AN99" s="454" cm="1">
        <f t="array" ref="AN99">INDEX($J99:$N99,AN72)*AN51</f>
        <v>1350</v>
      </c>
      <c r="AO99" s="454" cm="1">
        <f t="array" ref="AO99">INDEX($J99:$N99,AO72)*AO51</f>
        <v>1350</v>
      </c>
      <c r="AP99" s="454" cm="1">
        <f t="array" ref="AP99">INDEX($J99:$N99,AP72)*AP51</f>
        <v>1350</v>
      </c>
      <c r="AQ99" s="454" cm="1">
        <f t="array" ref="AQ99">INDEX($J99:$N99,AQ72)*AQ51</f>
        <v>1350</v>
      </c>
      <c r="AR99" s="454" cm="1">
        <f t="array" ref="AR99">INDEX($J99:$N99,AR72)*AR51</f>
        <v>1350</v>
      </c>
      <c r="AS99" s="454" cm="1">
        <f t="array" ref="AS99">INDEX($J99:$N99,AS72)*AS51</f>
        <v>1350</v>
      </c>
      <c r="AT99" s="454" cm="1">
        <f t="array" ref="AT99">INDEX($J99:$N99,AT72)*AT51</f>
        <v>1350</v>
      </c>
      <c r="AU99" s="454" cm="1">
        <f t="array" ref="AU99">INDEX($J99:$N99,AU72)*AU51</f>
        <v>1350</v>
      </c>
      <c r="AV99" s="454" cm="1">
        <f t="array" ref="AV99">INDEX($J99:$N99,AV72)*AV51</f>
        <v>1350</v>
      </c>
      <c r="AW99" s="454" cm="1">
        <f t="array" ref="AW99">INDEX($J99:$N99,AW72)*AW51</f>
        <v>1350</v>
      </c>
      <c r="AX99" s="454" cm="1">
        <f t="array" ref="AX99">INDEX($J99:$N99,AX72)*AX51</f>
        <v>1350</v>
      </c>
    </row>
    <row r="100" spans="1:50" ht="16">
      <c r="B100" s="130"/>
      <c r="C100" s="130"/>
      <c r="D100" s="130"/>
      <c r="E100" s="130"/>
      <c r="F100" s="130"/>
      <c r="G100" s="130"/>
      <c r="H100" s="206"/>
      <c r="I100" s="226"/>
      <c r="J100" s="220"/>
      <c r="K100" s="75"/>
      <c r="L100" s="206"/>
      <c r="M100" s="206"/>
      <c r="N100" s="206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50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50"/>
      <c r="AM100" s="204"/>
      <c r="AN100" s="204"/>
      <c r="AO100" s="204"/>
      <c r="AP100" s="204"/>
      <c r="AQ100" s="204"/>
      <c r="AR100" s="204"/>
      <c r="AS100" s="204"/>
      <c r="AT100" s="204"/>
      <c r="AU100" s="204"/>
      <c r="AV100" s="204"/>
      <c r="AW100" s="204"/>
      <c r="AX100" s="204"/>
    </row>
    <row r="101" spans="1:50" s="73" customFormat="1">
      <c r="A101" s="59"/>
      <c r="B101" s="431" t="s">
        <v>574</v>
      </c>
      <c r="C101" s="432"/>
      <c r="D101" s="432"/>
      <c r="E101" s="432"/>
      <c r="F101" s="432"/>
      <c r="G101" s="432"/>
      <c r="H101" s="433"/>
      <c r="I101" s="433"/>
      <c r="J101" s="433"/>
      <c r="K101" s="433"/>
      <c r="L101" s="433"/>
      <c r="M101" s="433"/>
      <c r="N101" s="433"/>
      <c r="O101" s="175">
        <f t="shared" ref="O101:AX101" si="358">SUM(O90:O100)</f>
        <v>900</v>
      </c>
      <c r="P101" s="175">
        <f t="shared" si="358"/>
        <v>900</v>
      </c>
      <c r="Q101" s="175">
        <f t="shared" si="358"/>
        <v>900</v>
      </c>
      <c r="R101" s="175">
        <f t="shared" si="358"/>
        <v>900</v>
      </c>
      <c r="S101" s="175">
        <f t="shared" si="358"/>
        <v>900</v>
      </c>
      <c r="T101" s="175">
        <f t="shared" si="358"/>
        <v>900</v>
      </c>
      <c r="U101" s="175">
        <f t="shared" si="358"/>
        <v>900</v>
      </c>
      <c r="V101" s="175">
        <f t="shared" si="358"/>
        <v>900</v>
      </c>
      <c r="W101" s="175">
        <f t="shared" si="358"/>
        <v>900</v>
      </c>
      <c r="X101" s="175">
        <f t="shared" si="358"/>
        <v>900</v>
      </c>
      <c r="Y101" s="175">
        <f t="shared" si="358"/>
        <v>900</v>
      </c>
      <c r="Z101" s="252">
        <f t="shared" si="358"/>
        <v>900</v>
      </c>
      <c r="AA101" s="175">
        <f t="shared" si="358"/>
        <v>1365</v>
      </c>
      <c r="AB101" s="175">
        <f t="shared" si="358"/>
        <v>1365</v>
      </c>
      <c r="AC101" s="175">
        <f t="shared" si="358"/>
        <v>1365</v>
      </c>
      <c r="AD101" s="175">
        <f t="shared" si="358"/>
        <v>1365</v>
      </c>
      <c r="AE101" s="175">
        <f t="shared" si="358"/>
        <v>1365</v>
      </c>
      <c r="AF101" s="175">
        <f t="shared" si="358"/>
        <v>1365</v>
      </c>
      <c r="AG101" s="175">
        <f t="shared" si="358"/>
        <v>1365</v>
      </c>
      <c r="AH101" s="175">
        <f t="shared" si="358"/>
        <v>1365</v>
      </c>
      <c r="AI101" s="175">
        <f t="shared" si="358"/>
        <v>1365</v>
      </c>
      <c r="AJ101" s="175">
        <f t="shared" si="358"/>
        <v>1365</v>
      </c>
      <c r="AK101" s="175">
        <f t="shared" si="358"/>
        <v>1365</v>
      </c>
      <c r="AL101" s="252">
        <f t="shared" si="358"/>
        <v>1365</v>
      </c>
      <c r="AM101" s="175">
        <f t="shared" si="358"/>
        <v>1890</v>
      </c>
      <c r="AN101" s="175">
        <f t="shared" si="358"/>
        <v>1890</v>
      </c>
      <c r="AO101" s="175">
        <f t="shared" si="358"/>
        <v>1890</v>
      </c>
      <c r="AP101" s="175">
        <f t="shared" si="358"/>
        <v>1890</v>
      </c>
      <c r="AQ101" s="175">
        <f t="shared" si="358"/>
        <v>1890</v>
      </c>
      <c r="AR101" s="175">
        <f t="shared" si="358"/>
        <v>1890</v>
      </c>
      <c r="AS101" s="175">
        <f t="shared" si="358"/>
        <v>1890</v>
      </c>
      <c r="AT101" s="175">
        <f t="shared" si="358"/>
        <v>1890</v>
      </c>
      <c r="AU101" s="175">
        <f t="shared" si="358"/>
        <v>1890</v>
      </c>
      <c r="AV101" s="175">
        <f t="shared" si="358"/>
        <v>1890</v>
      </c>
      <c r="AW101" s="175">
        <f t="shared" si="358"/>
        <v>1890</v>
      </c>
      <c r="AX101" s="175">
        <f t="shared" si="358"/>
        <v>1890</v>
      </c>
    </row>
    <row r="103" spans="1:50">
      <c r="B103" s="74" t="s">
        <v>81</v>
      </c>
      <c r="C103" s="74"/>
      <c r="D103" s="74"/>
      <c r="E103" s="74"/>
      <c r="F103" s="74"/>
      <c r="G103" s="74"/>
      <c r="H103" s="434"/>
      <c r="I103" s="434"/>
      <c r="J103" s="434"/>
      <c r="K103" s="434"/>
      <c r="L103" s="434"/>
      <c r="M103" s="434"/>
      <c r="N103" s="434"/>
      <c r="O103" s="238">
        <f t="shared" ref="O103:AX103" si="359">O89+O101</f>
        <v>16404.583333333332</v>
      </c>
      <c r="P103" s="238">
        <f t="shared" si="359"/>
        <v>22136.395833333332</v>
      </c>
      <c r="Q103" s="238">
        <f t="shared" si="359"/>
        <v>27868.208333333336</v>
      </c>
      <c r="R103" s="238">
        <f t="shared" si="359"/>
        <v>33600.020833333336</v>
      </c>
      <c r="S103" s="238">
        <f t="shared" si="359"/>
        <v>39331.833333333343</v>
      </c>
      <c r="T103" s="238">
        <f t="shared" si="359"/>
        <v>45057.541666666664</v>
      </c>
      <c r="U103" s="238">
        <f t="shared" si="359"/>
        <v>50783.25</v>
      </c>
      <c r="V103" s="238">
        <f t="shared" si="359"/>
        <v>56508.958333333343</v>
      </c>
      <c r="W103" s="238">
        <f t="shared" si="359"/>
        <v>62234.666666666672</v>
      </c>
      <c r="X103" s="238">
        <f t="shared" si="359"/>
        <v>67960.375</v>
      </c>
      <c r="Y103" s="238">
        <f t="shared" si="359"/>
        <v>73686.083333333328</v>
      </c>
      <c r="Z103" s="251">
        <f t="shared" si="359"/>
        <v>79411.791666666686</v>
      </c>
      <c r="AA103" s="238">
        <f t="shared" si="359"/>
        <v>133288.25</v>
      </c>
      <c r="AB103" s="238">
        <f t="shared" si="359"/>
        <v>145191.375</v>
      </c>
      <c r="AC103" s="238">
        <f t="shared" si="359"/>
        <v>157094.5</v>
      </c>
      <c r="AD103" s="238">
        <f t="shared" si="359"/>
        <v>168997.625</v>
      </c>
      <c r="AE103" s="238">
        <f t="shared" si="359"/>
        <v>179802</v>
      </c>
      <c r="AF103" s="238">
        <f t="shared" si="359"/>
        <v>190313.375</v>
      </c>
      <c r="AG103" s="238">
        <f t="shared" si="359"/>
        <v>200824.75</v>
      </c>
      <c r="AH103" s="238">
        <f t="shared" si="359"/>
        <v>211336.125</v>
      </c>
      <c r="AI103" s="238">
        <f t="shared" si="359"/>
        <v>221841.39583333337</v>
      </c>
      <c r="AJ103" s="238">
        <f t="shared" si="359"/>
        <v>232346.66666666669</v>
      </c>
      <c r="AK103" s="238">
        <f t="shared" si="359"/>
        <v>242851.9375</v>
      </c>
      <c r="AL103" s="251">
        <f t="shared" si="359"/>
        <v>253357.20833333331</v>
      </c>
      <c r="AM103" s="238">
        <f t="shared" si="359"/>
        <v>279916.47916666669</v>
      </c>
      <c r="AN103" s="238">
        <f t="shared" si="359"/>
        <v>293370.0625</v>
      </c>
      <c r="AO103" s="238">
        <f t="shared" si="359"/>
        <v>306823.64583333331</v>
      </c>
      <c r="AP103" s="238">
        <f t="shared" si="359"/>
        <v>320277.22916666674</v>
      </c>
      <c r="AQ103" s="238">
        <f t="shared" si="359"/>
        <v>333730.8125</v>
      </c>
      <c r="AR103" s="238">
        <f t="shared" si="359"/>
        <v>347184.39583333331</v>
      </c>
      <c r="AS103" s="238">
        <f t="shared" si="359"/>
        <v>360631.875</v>
      </c>
      <c r="AT103" s="238">
        <f t="shared" si="359"/>
        <v>374079.35416666674</v>
      </c>
      <c r="AU103" s="238">
        <f t="shared" si="359"/>
        <v>387526.83333333331</v>
      </c>
      <c r="AV103" s="238">
        <f t="shared" si="359"/>
        <v>400974.3125</v>
      </c>
      <c r="AW103" s="238">
        <f t="shared" si="359"/>
        <v>414421.79166666674</v>
      </c>
      <c r="AX103" s="238">
        <f t="shared" si="359"/>
        <v>427869.27083333337</v>
      </c>
    </row>
    <row r="104" spans="1:50">
      <c r="I104" s="59"/>
      <c r="J104" s="59"/>
      <c r="K104" s="59"/>
      <c r="L104" s="59"/>
      <c r="M104" s="59"/>
      <c r="N104" s="59"/>
      <c r="O104" s="73"/>
      <c r="P104" s="79"/>
      <c r="Q104" s="79"/>
      <c r="R104" s="79"/>
      <c r="S104" s="79"/>
      <c r="T104" s="79"/>
      <c r="U104" s="79"/>
    </row>
    <row r="105" spans="1:50">
      <c r="B105" s="301" t="s">
        <v>579</v>
      </c>
      <c r="C105" s="301"/>
      <c r="D105" s="301"/>
      <c r="E105" s="301"/>
      <c r="F105" s="301"/>
      <c r="G105" s="301"/>
      <c r="H105" s="320"/>
      <c r="I105" s="320"/>
      <c r="J105" s="320"/>
      <c r="K105" s="320"/>
      <c r="L105" s="320"/>
      <c r="M105" s="320"/>
      <c r="N105" s="320"/>
      <c r="O105" s="320">
        <f t="shared" ref="O105:AX105" si="360">+O67-O103</f>
        <v>7762.0833333333358</v>
      </c>
      <c r="P105" s="320">
        <f t="shared" si="360"/>
        <v>10255.270833333336</v>
      </c>
      <c r="Q105" s="320">
        <f t="shared" si="360"/>
        <v>12748.458333333328</v>
      </c>
      <c r="R105" s="320">
        <f t="shared" si="360"/>
        <v>15241.645833333328</v>
      </c>
      <c r="S105" s="320">
        <f t="shared" si="360"/>
        <v>17734.833333333321</v>
      </c>
      <c r="T105" s="320">
        <f t="shared" si="360"/>
        <v>20225.791666666672</v>
      </c>
      <c r="U105" s="320">
        <f t="shared" si="360"/>
        <v>22716.75</v>
      </c>
      <c r="V105" s="320">
        <f t="shared" si="360"/>
        <v>25207.708333333328</v>
      </c>
      <c r="W105" s="320">
        <f t="shared" si="360"/>
        <v>27698.666666666657</v>
      </c>
      <c r="X105" s="320">
        <f t="shared" si="360"/>
        <v>30189.625</v>
      </c>
      <c r="Y105" s="320">
        <f t="shared" si="360"/>
        <v>32680.583333333343</v>
      </c>
      <c r="Z105" s="336">
        <f t="shared" si="360"/>
        <v>35171.541666666642</v>
      </c>
      <c r="AA105" s="320">
        <f t="shared" si="360"/>
        <v>62411.75</v>
      </c>
      <c r="AB105" s="320">
        <f t="shared" si="360"/>
        <v>67358.625</v>
      </c>
      <c r="AC105" s="320">
        <f t="shared" si="360"/>
        <v>72305.5</v>
      </c>
      <c r="AD105" s="320">
        <f t="shared" si="360"/>
        <v>77252.375</v>
      </c>
      <c r="AE105" s="320">
        <f t="shared" si="360"/>
        <v>81798</v>
      </c>
      <c r="AF105" s="320">
        <f t="shared" si="360"/>
        <v>86036.625</v>
      </c>
      <c r="AG105" s="320">
        <f t="shared" si="360"/>
        <v>90275.25</v>
      </c>
      <c r="AH105" s="320">
        <f t="shared" si="360"/>
        <v>94513.875</v>
      </c>
      <c r="AI105" s="320">
        <f t="shared" si="360"/>
        <v>98750.270833333314</v>
      </c>
      <c r="AJ105" s="320">
        <f t="shared" si="360"/>
        <v>102986.66666666663</v>
      </c>
      <c r="AK105" s="320">
        <f t="shared" si="360"/>
        <v>107223.0625</v>
      </c>
      <c r="AL105" s="336">
        <f t="shared" si="360"/>
        <v>111459.45833333337</v>
      </c>
      <c r="AM105" s="320">
        <f t="shared" si="360"/>
        <v>131441.85416666663</v>
      </c>
      <c r="AN105" s="320">
        <f t="shared" si="360"/>
        <v>137254.9375</v>
      </c>
      <c r="AO105" s="320">
        <f t="shared" si="360"/>
        <v>143068.02083333337</v>
      </c>
      <c r="AP105" s="320">
        <f t="shared" si="360"/>
        <v>148881.10416666657</v>
      </c>
      <c r="AQ105" s="320">
        <f t="shared" si="360"/>
        <v>154694.1875</v>
      </c>
      <c r="AR105" s="320">
        <f t="shared" si="360"/>
        <v>160507.27083333337</v>
      </c>
      <c r="AS105" s="320">
        <f t="shared" si="360"/>
        <v>166318.125</v>
      </c>
      <c r="AT105" s="320">
        <f t="shared" si="360"/>
        <v>172128.97916666663</v>
      </c>
      <c r="AU105" s="320">
        <f t="shared" si="360"/>
        <v>177939.83333333331</v>
      </c>
      <c r="AV105" s="320">
        <f t="shared" si="360"/>
        <v>183750.6875</v>
      </c>
      <c r="AW105" s="320">
        <f t="shared" si="360"/>
        <v>189561.54166666663</v>
      </c>
      <c r="AX105" s="320">
        <f t="shared" si="360"/>
        <v>195372.39583333326</v>
      </c>
    </row>
    <row r="106" spans="1:50">
      <c r="H106" s="137"/>
      <c r="I106" s="137"/>
      <c r="J106" s="137"/>
      <c r="K106" s="137"/>
      <c r="L106" s="137"/>
      <c r="M106" s="137"/>
      <c r="N106" s="137"/>
      <c r="O106" s="232">
        <f t="shared" ref="O106:AX106" si="361">O105/O67</f>
        <v>0.32118965517241388</v>
      </c>
      <c r="P106" s="232">
        <f t="shared" si="361"/>
        <v>0.31660213532287118</v>
      </c>
      <c r="Q106" s="232">
        <f t="shared" si="361"/>
        <v>0.31387258924907663</v>
      </c>
      <c r="R106" s="232">
        <f t="shared" si="361"/>
        <v>0.31206236137177945</v>
      </c>
      <c r="S106" s="232">
        <f t="shared" si="361"/>
        <v>0.31077394859813062</v>
      </c>
      <c r="T106" s="232">
        <f t="shared" si="361"/>
        <v>0.30981554761296914</v>
      </c>
      <c r="U106" s="232">
        <f t="shared" si="361"/>
        <v>0.30907142857142855</v>
      </c>
      <c r="V106" s="232">
        <f t="shared" si="361"/>
        <v>0.30847695288598809</v>
      </c>
      <c r="W106" s="232">
        <f t="shared" si="361"/>
        <v>0.30799110452186795</v>
      </c>
      <c r="X106" s="232">
        <f t="shared" si="361"/>
        <v>0.30758660213958228</v>
      </c>
      <c r="Y106" s="232">
        <f t="shared" si="361"/>
        <v>0.30724459417110633</v>
      </c>
      <c r="Z106" s="253">
        <f t="shared" si="361"/>
        <v>0.30695163636363615</v>
      </c>
      <c r="AA106" s="232">
        <f t="shared" si="361"/>
        <v>0.31891543178334186</v>
      </c>
      <c r="AB106" s="232">
        <f t="shared" si="361"/>
        <v>0.31690719830628089</v>
      </c>
      <c r="AC106" s="232">
        <f t="shared" si="361"/>
        <v>0.31519398430688755</v>
      </c>
      <c r="AD106" s="232">
        <f t="shared" si="361"/>
        <v>0.31371522842639593</v>
      </c>
      <c r="AE106" s="232">
        <f t="shared" si="361"/>
        <v>0.31268348623853209</v>
      </c>
      <c r="AF106" s="232">
        <f t="shared" si="361"/>
        <v>0.31133209697846931</v>
      </c>
      <c r="AG106" s="232">
        <f t="shared" si="361"/>
        <v>0.31011765716248713</v>
      </c>
      <c r="AH106" s="232">
        <f t="shared" si="361"/>
        <v>0.30902035311427173</v>
      </c>
      <c r="AI106" s="232">
        <f t="shared" si="361"/>
        <v>0.30802507083257513</v>
      </c>
      <c r="AJ106" s="232">
        <f t="shared" si="361"/>
        <v>0.30711729622266393</v>
      </c>
      <c r="AK106" s="232">
        <f t="shared" si="361"/>
        <v>0.30628597443404987</v>
      </c>
      <c r="AL106" s="253">
        <f t="shared" si="361"/>
        <v>0.30552183745260186</v>
      </c>
      <c r="AM106" s="232">
        <f t="shared" si="361"/>
        <v>0.31953127848793622</v>
      </c>
      <c r="AN106" s="232">
        <f t="shared" si="361"/>
        <v>0.31873425253991294</v>
      </c>
      <c r="AO106" s="232">
        <f t="shared" si="361"/>
        <v>0.31800549206290413</v>
      </c>
      <c r="AP106" s="232">
        <f t="shared" si="361"/>
        <v>0.31733658679550242</v>
      </c>
      <c r="AQ106" s="232">
        <f t="shared" si="361"/>
        <v>0.31672045349849004</v>
      </c>
      <c r="AR106" s="232">
        <f t="shared" si="361"/>
        <v>0.31615108415540938</v>
      </c>
      <c r="AS106" s="232">
        <f t="shared" si="361"/>
        <v>0.31562411044691147</v>
      </c>
      <c r="AT106" s="232">
        <f t="shared" si="361"/>
        <v>0.31513429704782964</v>
      </c>
      <c r="AU106" s="232">
        <f t="shared" si="361"/>
        <v>0.31467784720584768</v>
      </c>
      <c r="AV106" s="232">
        <f t="shared" si="361"/>
        <v>0.31425146436358969</v>
      </c>
      <c r="AW106" s="232">
        <f t="shared" si="361"/>
        <v>0.31385227241369784</v>
      </c>
      <c r="AX106" s="232">
        <f t="shared" si="361"/>
        <v>0.3134777507387449</v>
      </c>
    </row>
    <row r="107" spans="1:50">
      <c r="B107" s="197" t="s">
        <v>211</v>
      </c>
      <c r="C107" s="197"/>
      <c r="D107" s="197"/>
      <c r="E107" s="197"/>
      <c r="F107" s="197"/>
      <c r="G107" s="197"/>
      <c r="H107" s="219"/>
      <c r="I107" s="198"/>
      <c r="J107" s="198"/>
      <c r="K107" s="198"/>
      <c r="L107" s="198"/>
      <c r="M107" s="198"/>
      <c r="N107" s="198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249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49"/>
      <c r="AM107" s="205"/>
      <c r="AN107" s="205"/>
      <c r="AO107" s="205"/>
      <c r="AP107" s="205"/>
      <c r="AQ107" s="205"/>
      <c r="AR107" s="205"/>
      <c r="AS107" s="205"/>
      <c r="AT107" s="205"/>
      <c r="AU107" s="205"/>
      <c r="AV107" s="205"/>
      <c r="AW107" s="205"/>
      <c r="AX107" s="205"/>
    </row>
    <row r="108" spans="1:50">
      <c r="H108" s="137"/>
      <c r="I108" s="137"/>
      <c r="J108" s="137"/>
      <c r="K108" s="137"/>
      <c r="L108" s="137"/>
      <c r="M108" s="137"/>
      <c r="N108" s="137"/>
      <c r="O108" s="73"/>
      <c r="P108" s="79"/>
      <c r="Q108" s="79"/>
      <c r="R108" s="79"/>
      <c r="S108" s="79"/>
    </row>
    <row r="109" spans="1:50">
      <c r="B109" s="66" t="s">
        <v>350</v>
      </c>
      <c r="C109" s="66"/>
      <c r="D109" s="66"/>
      <c r="E109" s="66"/>
      <c r="F109" s="66"/>
      <c r="G109" s="66"/>
      <c r="H109" s="67"/>
      <c r="I109" s="67"/>
      <c r="J109" s="67"/>
      <c r="K109" s="67"/>
      <c r="L109" s="67"/>
      <c r="M109" s="67"/>
      <c r="N109" s="67"/>
      <c r="O109" s="73"/>
      <c r="P109" s="79"/>
      <c r="Q109" s="79"/>
      <c r="R109" s="79"/>
      <c r="S109" s="79"/>
    </row>
    <row r="113" spans="2:19">
      <c r="B113" s="162" t="s">
        <v>562</v>
      </c>
      <c r="H113" s="137"/>
      <c r="I113" s="137"/>
      <c r="J113" s="137"/>
      <c r="K113" s="137"/>
      <c r="L113" s="137"/>
      <c r="M113" s="137"/>
      <c r="N113" s="137"/>
      <c r="O113" s="73"/>
      <c r="P113" s="79"/>
      <c r="Q113" s="79"/>
      <c r="R113" s="79"/>
      <c r="S113" s="79"/>
    </row>
    <row r="114" spans="2:19">
      <c r="H114" s="137"/>
      <c r="I114" s="137"/>
      <c r="J114" s="137"/>
      <c r="K114" s="137"/>
      <c r="L114" s="137"/>
      <c r="M114" s="137"/>
      <c r="N114" s="137"/>
      <c r="O114" s="73"/>
      <c r="P114" s="79"/>
      <c r="Q114" s="79"/>
      <c r="R114" s="79"/>
      <c r="S114" s="79"/>
    </row>
    <row r="115" spans="2:19">
      <c r="H115" s="137"/>
      <c r="I115" s="137"/>
      <c r="J115" s="137"/>
      <c r="K115" s="137"/>
      <c r="L115" s="137"/>
      <c r="M115" s="137"/>
      <c r="N115" s="137"/>
      <c r="O115" s="73"/>
      <c r="P115" s="79"/>
      <c r="Q115" s="79"/>
      <c r="R115" s="79"/>
      <c r="S115" s="79"/>
    </row>
    <row r="116" spans="2:19">
      <c r="H116" s="137"/>
      <c r="I116" s="137"/>
      <c r="J116" s="137"/>
      <c r="K116" s="137"/>
      <c r="L116" s="137"/>
      <c r="M116" s="137"/>
      <c r="N116" s="137"/>
      <c r="O116" s="73"/>
      <c r="P116" s="79"/>
      <c r="Q116" s="79"/>
      <c r="R116" s="79"/>
      <c r="S116" s="79"/>
    </row>
    <row r="117" spans="2:19">
      <c r="H117" s="137"/>
      <c r="I117" s="137"/>
      <c r="J117" s="137"/>
      <c r="K117" s="137"/>
      <c r="L117" s="137"/>
      <c r="M117" s="137"/>
      <c r="N117" s="137"/>
      <c r="O117" s="73"/>
      <c r="P117" s="79"/>
      <c r="Q117" s="79"/>
      <c r="R117" s="79"/>
      <c r="S117" s="79"/>
    </row>
    <row r="118" spans="2:19">
      <c r="H118" s="137"/>
      <c r="I118" s="137"/>
      <c r="J118" s="137"/>
      <c r="K118" s="137"/>
      <c r="L118" s="137"/>
      <c r="M118" s="137"/>
      <c r="N118" s="137"/>
      <c r="O118" s="73"/>
      <c r="P118" s="79"/>
      <c r="Q118" s="79"/>
      <c r="R118" s="79"/>
      <c r="S118" s="79"/>
    </row>
    <row r="119" spans="2:19">
      <c r="H119" s="137"/>
      <c r="I119" s="137"/>
      <c r="J119" s="137"/>
      <c r="K119" s="137"/>
      <c r="L119" s="137"/>
      <c r="M119" s="137"/>
      <c r="N119" s="137"/>
      <c r="O119" s="73"/>
      <c r="P119" s="79"/>
      <c r="Q119" s="79"/>
      <c r="R119" s="79"/>
      <c r="S119" s="79"/>
    </row>
    <row r="120" spans="2:19">
      <c r="H120" s="137"/>
      <c r="I120" s="137"/>
      <c r="J120" s="137"/>
      <c r="K120" s="137"/>
      <c r="L120" s="137"/>
      <c r="M120" s="137"/>
      <c r="N120" s="137"/>
      <c r="O120" s="73"/>
      <c r="P120" s="79"/>
      <c r="Q120" s="79"/>
      <c r="R120" s="79"/>
      <c r="S120" s="79"/>
    </row>
    <row r="121" spans="2:19">
      <c r="H121" s="137"/>
      <c r="I121" s="137"/>
      <c r="J121" s="137"/>
      <c r="K121" s="137"/>
      <c r="L121" s="137"/>
      <c r="M121" s="137"/>
      <c r="N121" s="137"/>
      <c r="O121" s="73"/>
      <c r="P121" s="79"/>
      <c r="Q121" s="79"/>
      <c r="R121" s="79"/>
      <c r="S121" s="79"/>
    </row>
    <row r="122" spans="2:19">
      <c r="H122" s="137"/>
      <c r="I122" s="137"/>
      <c r="J122" s="137"/>
      <c r="K122" s="137"/>
      <c r="L122" s="137"/>
      <c r="M122" s="137"/>
      <c r="N122" s="137"/>
      <c r="O122" s="73"/>
      <c r="P122" s="79"/>
      <c r="Q122" s="79"/>
      <c r="R122" s="79"/>
      <c r="S122" s="79"/>
    </row>
    <row r="123" spans="2:19">
      <c r="H123" s="137"/>
      <c r="I123" s="137"/>
      <c r="J123" s="137"/>
      <c r="K123" s="137"/>
      <c r="L123" s="137"/>
      <c r="M123" s="137"/>
      <c r="N123" s="137"/>
      <c r="O123" s="73"/>
      <c r="P123" s="79"/>
      <c r="Q123" s="79"/>
      <c r="R123" s="79"/>
      <c r="S123" s="79"/>
    </row>
    <row r="124" spans="2:19">
      <c r="H124" s="137"/>
      <c r="I124" s="137"/>
      <c r="J124" s="137"/>
      <c r="K124" s="137"/>
      <c r="L124" s="137"/>
      <c r="M124" s="137"/>
      <c r="N124" s="137"/>
      <c r="O124" s="73"/>
      <c r="P124" s="79"/>
      <c r="Q124" s="79"/>
      <c r="R124" s="79"/>
      <c r="S124" s="79"/>
    </row>
    <row r="125" spans="2:19">
      <c r="H125" s="137"/>
      <c r="I125" s="137"/>
      <c r="J125" s="137"/>
      <c r="K125" s="137"/>
      <c r="L125" s="137"/>
      <c r="M125" s="137"/>
      <c r="N125" s="137"/>
      <c r="O125" s="73"/>
      <c r="P125" s="79"/>
      <c r="Q125" s="79"/>
      <c r="R125" s="79"/>
      <c r="S125" s="79"/>
    </row>
    <row r="126" spans="2:19">
      <c r="H126" s="137"/>
      <c r="I126" s="137"/>
      <c r="J126" s="137"/>
      <c r="K126" s="137"/>
      <c r="L126" s="137"/>
      <c r="M126" s="137"/>
      <c r="N126" s="137"/>
      <c r="O126" s="137"/>
    </row>
    <row r="127" spans="2:19">
      <c r="H127" s="137"/>
      <c r="I127" s="137"/>
      <c r="J127" s="137"/>
      <c r="K127" s="137"/>
      <c r="L127" s="137"/>
      <c r="M127" s="137"/>
      <c r="N127" s="137"/>
      <c r="O127" s="137"/>
    </row>
    <row r="128" spans="2:19">
      <c r="H128" s="137"/>
      <c r="I128" s="137"/>
      <c r="J128" s="137"/>
      <c r="K128" s="137"/>
      <c r="L128" s="137"/>
      <c r="M128" s="137"/>
      <c r="N128" s="137"/>
      <c r="O128" s="137"/>
    </row>
    <row r="129" spans="8:15">
      <c r="H129" s="137"/>
      <c r="I129" s="137"/>
      <c r="J129" s="137"/>
      <c r="K129" s="137"/>
      <c r="L129" s="137"/>
      <c r="M129" s="137"/>
      <c r="N129" s="137"/>
      <c r="O129" s="137"/>
    </row>
    <row r="130" spans="8:15">
      <c r="H130" s="137"/>
      <c r="I130" s="137"/>
      <c r="J130" s="137"/>
      <c r="K130" s="137"/>
      <c r="L130" s="137"/>
      <c r="M130" s="137"/>
      <c r="N130" s="137"/>
      <c r="O130" s="137"/>
    </row>
  </sheetData>
  <dataValidations count="1">
    <dataValidation type="list" allowBlank="1" showInputMessage="1" showErrorMessage="1" sqref="J19:N19 J30:N30 J41:N41" xr:uid="{EF1C878C-1AE2-6D4D-9CD1-B62BA39CD5CB}">
      <formula1>"Monthly,Quarterly,Annually"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</sheetPr>
  <dimension ref="A1:BF97"/>
  <sheetViews>
    <sheetView showGridLines="0" zoomScaleNormal="100" workbookViewId="0">
      <pane xSplit="3" topLeftCell="D1" activePane="topRight" state="frozen"/>
      <selection pane="topRight" activeCell="R29" sqref="R29"/>
    </sheetView>
  </sheetViews>
  <sheetFormatPr baseColWidth="10" defaultColWidth="8.83203125" defaultRowHeight="14"/>
  <cols>
    <col min="1" max="1" width="2.33203125" style="21" customWidth="1"/>
    <col min="2" max="2" width="29.6640625" style="16" customWidth="1"/>
    <col min="3" max="3" width="20.33203125" style="16" customWidth="1"/>
    <col min="4" max="4" width="9.83203125" style="16" customWidth="1"/>
    <col min="5" max="5" width="9.1640625" style="16" customWidth="1"/>
    <col min="6" max="6" width="8.83203125" style="41" customWidth="1"/>
    <col min="7" max="7" width="8.83203125" style="16" customWidth="1"/>
    <col min="8" max="8" width="13.33203125" style="16" customWidth="1"/>
    <col min="9" max="9" width="11.1640625" style="16" customWidth="1"/>
    <col min="10" max="10" width="16.83203125" style="21" customWidth="1"/>
    <col min="11" max="15" width="5.5" style="16" customWidth="1"/>
    <col min="16" max="16" width="7.1640625" style="16" bestFit="1" customWidth="1"/>
    <col min="17" max="17" width="7.33203125" style="16" bestFit="1" customWidth="1"/>
    <col min="18" max="18" width="7.5" style="16" bestFit="1" customWidth="1"/>
    <col min="19" max="19" width="7" style="16" bestFit="1" customWidth="1"/>
    <col min="20" max="20" width="7.5" style="16" bestFit="1" customWidth="1"/>
    <col min="21" max="21" width="7.1640625" style="16" bestFit="1" customWidth="1"/>
    <col min="22" max="22" width="6.83203125" style="16" bestFit="1" customWidth="1"/>
    <col min="23" max="23" width="7.5" style="16" bestFit="1" customWidth="1"/>
    <col min="24" max="24" width="7.33203125" style="16" bestFit="1" customWidth="1"/>
    <col min="25" max="25" width="7" style="16" bestFit="1" customWidth="1"/>
    <col min="26" max="26" width="7.5" style="16" bestFit="1" customWidth="1"/>
    <col min="27" max="51" width="7.5" style="16" customWidth="1"/>
    <col min="52" max="16384" width="8.83203125" style="16"/>
  </cols>
  <sheetData>
    <row r="1" spans="1:58" s="323" customFormat="1" ht="16">
      <c r="A1" s="297" t="s">
        <v>434</v>
      </c>
      <c r="B1" s="298"/>
      <c r="C1" s="298"/>
      <c r="D1" s="298"/>
      <c r="E1" s="298"/>
      <c r="F1" s="324"/>
      <c r="G1" s="298"/>
      <c r="H1" s="298"/>
      <c r="I1" s="298"/>
      <c r="J1" s="299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  <c r="AT1" s="298"/>
      <c r="AU1" s="298"/>
      <c r="AV1" s="298"/>
      <c r="AW1" s="298"/>
      <c r="AX1" s="298"/>
      <c r="AY1" s="298"/>
      <c r="AZ1" s="298"/>
      <c r="BA1" s="298"/>
      <c r="BB1" s="298"/>
      <c r="BC1" s="298"/>
      <c r="BD1" s="298"/>
      <c r="BE1" s="298"/>
      <c r="BF1" s="298"/>
    </row>
    <row r="2" spans="1:58" s="11" customFormat="1" ht="15">
      <c r="A2" s="65"/>
      <c r="B2" s="56"/>
      <c r="C2" s="56"/>
      <c r="D2" s="56"/>
      <c r="E2" s="56"/>
      <c r="F2" s="102"/>
      <c r="G2" s="56"/>
      <c r="H2" s="56"/>
      <c r="I2" s="56"/>
      <c r="J2" s="65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</row>
    <row r="3" spans="1:58" s="11" customFormat="1" ht="15">
      <c r="A3" s="65"/>
      <c r="B3" s="62"/>
      <c r="C3" s="62"/>
      <c r="D3" s="62"/>
      <c r="E3" s="62"/>
      <c r="F3" s="150"/>
      <c r="G3" s="62"/>
      <c r="H3" s="56"/>
      <c r="I3" s="56"/>
      <c r="J3" s="97" t="s">
        <v>526</v>
      </c>
      <c r="K3" s="383"/>
      <c r="L3" s="383"/>
      <c r="M3" s="384" t="s">
        <v>389</v>
      </c>
      <c r="N3" s="383"/>
      <c r="O3" s="383"/>
      <c r="P3" s="383"/>
      <c r="Q3" s="383" t="s">
        <v>548</v>
      </c>
      <c r="R3" s="385"/>
      <c r="S3" s="383"/>
      <c r="T3" s="383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56"/>
      <c r="BA3" s="56"/>
      <c r="BB3" s="56"/>
      <c r="BC3" s="56"/>
      <c r="BD3" s="56"/>
      <c r="BE3" s="56"/>
      <c r="BF3" s="56"/>
    </row>
    <row r="4" spans="1:58" s="11" customFormat="1" ht="14.5" customHeight="1">
      <c r="A4" s="65"/>
      <c r="B4" s="62"/>
      <c r="C4" s="62"/>
      <c r="D4" s="62"/>
      <c r="E4" s="62"/>
      <c r="F4" s="150"/>
      <c r="G4" s="62"/>
      <c r="H4" s="56"/>
      <c r="I4" s="56"/>
      <c r="J4" s="56"/>
      <c r="K4" s="138"/>
      <c r="L4" s="138"/>
      <c r="M4" s="151"/>
      <c r="N4" s="138"/>
      <c r="O4" s="138"/>
      <c r="P4" s="138"/>
      <c r="Q4" s="138"/>
      <c r="R4" s="151"/>
      <c r="S4" s="138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56"/>
      <c r="BA4" s="56"/>
      <c r="BB4" s="56"/>
      <c r="BC4" s="56"/>
      <c r="BD4" s="56"/>
      <c r="BE4" s="56"/>
      <c r="BF4" s="56"/>
    </row>
    <row r="5" spans="1:58" s="11" customFormat="1" ht="14.5" customHeight="1">
      <c r="A5" s="65"/>
      <c r="B5" s="62"/>
      <c r="C5" s="62"/>
      <c r="D5" s="62"/>
      <c r="E5" s="62"/>
      <c r="F5" s="150"/>
      <c r="G5" s="62"/>
      <c r="H5" s="56"/>
      <c r="I5" s="56"/>
      <c r="J5" s="56"/>
      <c r="K5" s="138"/>
      <c r="L5" s="138"/>
      <c r="M5" s="151"/>
      <c r="N5" s="138"/>
      <c r="O5" s="138"/>
      <c r="P5" s="163">
        <f>'Revenue &amp; COGS Building'!O12</f>
        <v>46053</v>
      </c>
      <c r="Q5" s="163">
        <f>'Revenue &amp; COGS Building'!P12</f>
        <v>46054</v>
      </c>
      <c r="R5" s="163">
        <f>'Revenue &amp; COGS Building'!Q12</f>
        <v>46082</v>
      </c>
      <c r="S5" s="163">
        <f>'Revenue &amp; COGS Building'!R12</f>
        <v>46113</v>
      </c>
      <c r="T5" s="163">
        <f>'Revenue &amp; COGS Building'!S12</f>
        <v>46143</v>
      </c>
      <c r="U5" s="163">
        <f>'Revenue &amp; COGS Building'!T12</f>
        <v>46174</v>
      </c>
      <c r="V5" s="163">
        <f>'Revenue &amp; COGS Building'!U12</f>
        <v>46204</v>
      </c>
      <c r="W5" s="163">
        <f>'Revenue &amp; COGS Building'!V12</f>
        <v>46235</v>
      </c>
      <c r="X5" s="163">
        <f>'Revenue &amp; COGS Building'!W12</f>
        <v>46266</v>
      </c>
      <c r="Y5" s="163">
        <f>'Revenue &amp; COGS Building'!X12</f>
        <v>46296</v>
      </c>
      <c r="Z5" s="163">
        <f>'Revenue &amp; COGS Building'!Y12</f>
        <v>46327</v>
      </c>
      <c r="AA5" s="163">
        <f>'Revenue &amp; COGS Building'!Z12</f>
        <v>46357</v>
      </c>
      <c r="AB5" s="163">
        <f>'Revenue &amp; COGS Building'!AA12</f>
        <v>46388</v>
      </c>
      <c r="AC5" s="163">
        <f>'Revenue &amp; COGS Building'!AB12</f>
        <v>46419</v>
      </c>
      <c r="AD5" s="163">
        <f>'Revenue &amp; COGS Building'!AC12</f>
        <v>46447</v>
      </c>
      <c r="AE5" s="163">
        <f>'Revenue &amp; COGS Building'!AD12</f>
        <v>46478</v>
      </c>
      <c r="AF5" s="163">
        <f>'Revenue &amp; COGS Building'!AE12</f>
        <v>46508</v>
      </c>
      <c r="AG5" s="163">
        <f>'Revenue &amp; COGS Building'!AF12</f>
        <v>46539</v>
      </c>
      <c r="AH5" s="163">
        <f>'Revenue &amp; COGS Building'!AG12</f>
        <v>46569</v>
      </c>
      <c r="AI5" s="163">
        <f>'Revenue &amp; COGS Building'!AH12</f>
        <v>46600</v>
      </c>
      <c r="AJ5" s="163">
        <f>'Revenue &amp; COGS Building'!AI12</f>
        <v>46631</v>
      </c>
      <c r="AK5" s="163">
        <f>'Revenue &amp; COGS Building'!AJ12</f>
        <v>46661</v>
      </c>
      <c r="AL5" s="163">
        <f>'Revenue &amp; COGS Building'!AK12</f>
        <v>46692</v>
      </c>
      <c r="AM5" s="163">
        <f>'Revenue &amp; COGS Building'!AL12</f>
        <v>46722</v>
      </c>
      <c r="AN5" s="163">
        <f>'Revenue &amp; COGS Building'!AM12</f>
        <v>46753</v>
      </c>
      <c r="AO5" s="163">
        <f>'Revenue &amp; COGS Building'!AN12</f>
        <v>46784</v>
      </c>
      <c r="AP5" s="163">
        <f>'Revenue &amp; COGS Building'!AO12</f>
        <v>46813</v>
      </c>
      <c r="AQ5" s="163">
        <f>'Revenue &amp; COGS Building'!AP12</f>
        <v>46844</v>
      </c>
      <c r="AR5" s="163">
        <f>'Revenue &amp; COGS Building'!AQ12</f>
        <v>46874</v>
      </c>
      <c r="AS5" s="163">
        <f>'Revenue &amp; COGS Building'!AR12</f>
        <v>46905</v>
      </c>
      <c r="AT5" s="163">
        <f>'Revenue &amp; COGS Building'!AS12</f>
        <v>46935</v>
      </c>
      <c r="AU5" s="163">
        <f>'Revenue &amp; COGS Building'!AT12</f>
        <v>46966</v>
      </c>
      <c r="AV5" s="163">
        <f>'Revenue &amp; COGS Building'!AU12</f>
        <v>46997</v>
      </c>
      <c r="AW5" s="163">
        <f>'Revenue &amp; COGS Building'!AV12</f>
        <v>47027</v>
      </c>
      <c r="AX5" s="163">
        <f>'Revenue &amp; COGS Building'!AW12</f>
        <v>47058</v>
      </c>
      <c r="AY5" s="163">
        <f>'Revenue &amp; COGS Building'!AX12</f>
        <v>47088</v>
      </c>
      <c r="AZ5" s="56"/>
      <c r="BA5" s="56"/>
      <c r="BB5" s="56"/>
      <c r="BC5" s="56"/>
      <c r="BD5" s="56"/>
      <c r="BE5" s="56"/>
      <c r="BF5" s="56"/>
    </row>
    <row r="6" spans="1:58" s="11" customFormat="1" ht="14.5" customHeight="1">
      <c r="A6" s="65"/>
      <c r="B6" s="62"/>
      <c r="C6" s="62"/>
      <c r="D6" s="62"/>
      <c r="E6" s="62"/>
      <c r="F6" s="150"/>
      <c r="G6" s="62"/>
      <c r="H6" s="56"/>
      <c r="I6" s="56"/>
      <c r="J6" s="56"/>
      <c r="K6" s="138"/>
      <c r="L6" s="138"/>
      <c r="M6" s="151"/>
      <c r="N6" s="138"/>
      <c r="O6" s="138"/>
      <c r="P6" s="428">
        <f>'Revenue &amp; COGS Building'!O13</f>
        <v>1</v>
      </c>
      <c r="Q6" s="428">
        <f>'Revenue &amp; COGS Building'!P13</f>
        <v>2</v>
      </c>
      <c r="R6" s="428">
        <f>'Revenue &amp; COGS Building'!Q13</f>
        <v>3</v>
      </c>
      <c r="S6" s="428">
        <f>'Revenue &amp; COGS Building'!R13</f>
        <v>4</v>
      </c>
      <c r="T6" s="428">
        <f>'Revenue &amp; COGS Building'!S13</f>
        <v>5</v>
      </c>
      <c r="U6" s="428">
        <f>'Revenue &amp; COGS Building'!T13</f>
        <v>6</v>
      </c>
      <c r="V6" s="428">
        <f>'Revenue &amp; COGS Building'!U13</f>
        <v>7</v>
      </c>
      <c r="W6" s="428">
        <f>'Revenue &amp; COGS Building'!V13</f>
        <v>8</v>
      </c>
      <c r="X6" s="428">
        <f>'Revenue &amp; COGS Building'!W13</f>
        <v>9</v>
      </c>
      <c r="Y6" s="428">
        <f>'Revenue &amp; COGS Building'!X13</f>
        <v>10</v>
      </c>
      <c r="Z6" s="428">
        <f>'Revenue &amp; COGS Building'!Y13</f>
        <v>11</v>
      </c>
      <c r="AA6" s="428">
        <f>'Revenue &amp; COGS Building'!Z13</f>
        <v>12</v>
      </c>
      <c r="AB6" s="428">
        <f>'Revenue &amp; COGS Building'!AA13</f>
        <v>13</v>
      </c>
      <c r="AC6" s="428">
        <f>'Revenue &amp; COGS Building'!AB13</f>
        <v>14</v>
      </c>
      <c r="AD6" s="428">
        <f>'Revenue &amp; COGS Building'!AC13</f>
        <v>15</v>
      </c>
      <c r="AE6" s="428">
        <f>'Revenue &amp; COGS Building'!AD13</f>
        <v>16</v>
      </c>
      <c r="AF6" s="428">
        <f>'Revenue &amp; COGS Building'!AE13</f>
        <v>17</v>
      </c>
      <c r="AG6" s="428">
        <f>'Revenue &amp; COGS Building'!AF13</f>
        <v>18</v>
      </c>
      <c r="AH6" s="428">
        <f>'Revenue &amp; COGS Building'!AG13</f>
        <v>19</v>
      </c>
      <c r="AI6" s="428">
        <f>'Revenue &amp; COGS Building'!AH13</f>
        <v>20</v>
      </c>
      <c r="AJ6" s="428">
        <f>'Revenue &amp; COGS Building'!AI13</f>
        <v>21</v>
      </c>
      <c r="AK6" s="428">
        <f>'Revenue &amp; COGS Building'!AJ13</f>
        <v>22</v>
      </c>
      <c r="AL6" s="428">
        <f>'Revenue &amp; COGS Building'!AK13</f>
        <v>23</v>
      </c>
      <c r="AM6" s="428">
        <f>'Revenue &amp; COGS Building'!AL13</f>
        <v>24</v>
      </c>
      <c r="AN6" s="428">
        <f>'Revenue &amp; COGS Building'!AM13</f>
        <v>25</v>
      </c>
      <c r="AO6" s="428">
        <f>'Revenue &amp; COGS Building'!AN13</f>
        <v>26</v>
      </c>
      <c r="AP6" s="428">
        <f>'Revenue &amp; COGS Building'!AO13</f>
        <v>27</v>
      </c>
      <c r="AQ6" s="428">
        <f>'Revenue &amp; COGS Building'!AP13</f>
        <v>28</v>
      </c>
      <c r="AR6" s="428">
        <f>'Revenue &amp; COGS Building'!AQ13</f>
        <v>29</v>
      </c>
      <c r="AS6" s="428">
        <f>'Revenue &amp; COGS Building'!AR13</f>
        <v>30</v>
      </c>
      <c r="AT6" s="428">
        <f>'Revenue &amp; COGS Building'!AS13</f>
        <v>31</v>
      </c>
      <c r="AU6" s="428">
        <f>'Revenue &amp; COGS Building'!AT13</f>
        <v>32</v>
      </c>
      <c r="AV6" s="428">
        <f>'Revenue &amp; COGS Building'!AU13</f>
        <v>33</v>
      </c>
      <c r="AW6" s="428">
        <f>'Revenue &amp; COGS Building'!AV13</f>
        <v>34</v>
      </c>
      <c r="AX6" s="428">
        <f>'Revenue &amp; COGS Building'!AW13</f>
        <v>35</v>
      </c>
      <c r="AY6" s="428">
        <f>'Revenue &amp; COGS Building'!AX13</f>
        <v>36</v>
      </c>
      <c r="AZ6" s="56"/>
      <c r="BA6" s="56"/>
      <c r="BB6" s="56"/>
      <c r="BC6" s="56"/>
      <c r="BD6" s="56"/>
      <c r="BE6" s="56"/>
      <c r="BF6" s="56"/>
    </row>
    <row r="7" spans="1:58" s="11" customFormat="1" ht="15">
      <c r="A7" s="65"/>
      <c r="B7" s="62"/>
      <c r="C7" s="62"/>
      <c r="D7" s="62"/>
      <c r="E7" s="62"/>
      <c r="F7" s="150"/>
      <c r="G7" s="62"/>
      <c r="H7" s="56"/>
      <c r="I7" s="56"/>
      <c r="J7" s="56"/>
      <c r="K7" s="138"/>
      <c r="L7" s="138"/>
      <c r="M7" s="151"/>
      <c r="N7" s="138"/>
      <c r="O7" s="138"/>
      <c r="P7" s="428">
        <f>'Revenue &amp; COGS Building'!O14</f>
        <v>1</v>
      </c>
      <c r="Q7" s="428">
        <f>'Revenue &amp; COGS Building'!P14</f>
        <v>1</v>
      </c>
      <c r="R7" s="428">
        <f>'Revenue &amp; COGS Building'!Q14</f>
        <v>1</v>
      </c>
      <c r="S7" s="428">
        <f>'Revenue &amp; COGS Building'!R14</f>
        <v>1</v>
      </c>
      <c r="T7" s="428">
        <f>'Revenue &amp; COGS Building'!S14</f>
        <v>1</v>
      </c>
      <c r="U7" s="428">
        <f>'Revenue &amp; COGS Building'!T14</f>
        <v>1</v>
      </c>
      <c r="V7" s="428">
        <f>'Revenue &amp; COGS Building'!U14</f>
        <v>1</v>
      </c>
      <c r="W7" s="428">
        <f>'Revenue &amp; COGS Building'!V14</f>
        <v>1</v>
      </c>
      <c r="X7" s="428">
        <f>'Revenue &amp; COGS Building'!W14</f>
        <v>1</v>
      </c>
      <c r="Y7" s="428">
        <f>'Revenue &amp; COGS Building'!X14</f>
        <v>1</v>
      </c>
      <c r="Z7" s="428">
        <f>'Revenue &amp; COGS Building'!Y14</f>
        <v>1</v>
      </c>
      <c r="AA7" s="428">
        <f>'Revenue &amp; COGS Building'!Z14</f>
        <v>1</v>
      </c>
      <c r="AB7" s="428">
        <f>'Revenue &amp; COGS Building'!AA14</f>
        <v>2</v>
      </c>
      <c r="AC7" s="428">
        <f>'Revenue &amp; COGS Building'!AB14</f>
        <v>2</v>
      </c>
      <c r="AD7" s="428">
        <f>'Revenue &amp; COGS Building'!AC14</f>
        <v>2</v>
      </c>
      <c r="AE7" s="428">
        <f>'Revenue &amp; COGS Building'!AD14</f>
        <v>2</v>
      </c>
      <c r="AF7" s="428">
        <f>'Revenue &amp; COGS Building'!AE14</f>
        <v>2</v>
      </c>
      <c r="AG7" s="428">
        <f>'Revenue &amp; COGS Building'!AF14</f>
        <v>2</v>
      </c>
      <c r="AH7" s="428">
        <f>'Revenue &amp; COGS Building'!AG14</f>
        <v>2</v>
      </c>
      <c r="AI7" s="428">
        <f>'Revenue &amp; COGS Building'!AH14</f>
        <v>2</v>
      </c>
      <c r="AJ7" s="428">
        <f>'Revenue &amp; COGS Building'!AI14</f>
        <v>2</v>
      </c>
      <c r="AK7" s="428">
        <f>'Revenue &amp; COGS Building'!AJ14</f>
        <v>2</v>
      </c>
      <c r="AL7" s="428">
        <f>'Revenue &amp; COGS Building'!AK14</f>
        <v>2</v>
      </c>
      <c r="AM7" s="428">
        <f>'Revenue &amp; COGS Building'!AL14</f>
        <v>2</v>
      </c>
      <c r="AN7" s="428">
        <f>'Revenue &amp; COGS Building'!AM14</f>
        <v>3</v>
      </c>
      <c r="AO7" s="428">
        <f>'Revenue &amp; COGS Building'!AN14</f>
        <v>3</v>
      </c>
      <c r="AP7" s="428">
        <f>'Revenue &amp; COGS Building'!AO14</f>
        <v>3</v>
      </c>
      <c r="AQ7" s="428">
        <f>'Revenue &amp; COGS Building'!AP14</f>
        <v>3</v>
      </c>
      <c r="AR7" s="428">
        <f>'Revenue &amp; COGS Building'!AQ14</f>
        <v>3</v>
      </c>
      <c r="AS7" s="428">
        <f>'Revenue &amp; COGS Building'!AR14</f>
        <v>3</v>
      </c>
      <c r="AT7" s="428">
        <f>'Revenue &amp; COGS Building'!AS14</f>
        <v>3</v>
      </c>
      <c r="AU7" s="428">
        <f>'Revenue &amp; COGS Building'!AT14</f>
        <v>3</v>
      </c>
      <c r="AV7" s="428">
        <f>'Revenue &amp; COGS Building'!AU14</f>
        <v>3</v>
      </c>
      <c r="AW7" s="428">
        <f>'Revenue &amp; COGS Building'!AV14</f>
        <v>3</v>
      </c>
      <c r="AX7" s="428">
        <f>'Revenue &amp; COGS Building'!AW14</f>
        <v>3</v>
      </c>
      <c r="AY7" s="428">
        <f>'Revenue &amp; COGS Building'!AX14</f>
        <v>3</v>
      </c>
      <c r="AZ7" s="56"/>
      <c r="BA7" s="56"/>
      <c r="BB7" s="56"/>
      <c r="BC7" s="56"/>
      <c r="BD7" s="56"/>
      <c r="BE7" s="56"/>
      <c r="BF7" s="56"/>
    </row>
    <row r="8" spans="1:58" s="42" customFormat="1" ht="17" thickBot="1">
      <c r="A8" s="152"/>
      <c r="B8" s="351" t="s">
        <v>385</v>
      </c>
      <c r="C8" s="351" t="s">
        <v>201</v>
      </c>
      <c r="D8" s="352">
        <f>'Historicals &amp; Projections'!C6</f>
        <v>2024</v>
      </c>
      <c r="E8" s="352">
        <f>'Historicals &amp; Projections'!D6</f>
        <v>2025</v>
      </c>
      <c r="F8" s="353" t="s">
        <v>394</v>
      </c>
      <c r="G8" s="351" t="s">
        <v>386</v>
      </c>
      <c r="H8" s="351" t="s">
        <v>387</v>
      </c>
      <c r="I8" s="354" t="s">
        <v>388</v>
      </c>
      <c r="J8" s="352" t="s">
        <v>611</v>
      </c>
      <c r="K8" s="354">
        <f>'Revenue &amp; COGS Building'!O15</f>
        <v>2026</v>
      </c>
      <c r="L8" s="354">
        <f>+K8+1</f>
        <v>2027</v>
      </c>
      <c r="M8" s="354">
        <f>+L8+1</f>
        <v>2028</v>
      </c>
      <c r="N8" s="355">
        <f>+M8+1</f>
        <v>2029</v>
      </c>
      <c r="O8" s="355">
        <f t="shared" ref="O8" si="0">+N8+1</f>
        <v>2030</v>
      </c>
      <c r="P8" s="354">
        <f>'Revenue &amp; COGS Building'!O15</f>
        <v>2026</v>
      </c>
      <c r="Q8" s="354">
        <f>'Revenue &amp; COGS Building'!P15</f>
        <v>2026</v>
      </c>
      <c r="R8" s="354">
        <f>'Revenue &amp; COGS Building'!Q15</f>
        <v>2026</v>
      </c>
      <c r="S8" s="354">
        <f>'Revenue &amp; COGS Building'!R15</f>
        <v>2026</v>
      </c>
      <c r="T8" s="354">
        <f>'Revenue &amp; COGS Building'!S15</f>
        <v>2026</v>
      </c>
      <c r="U8" s="354">
        <f>'Revenue &amp; COGS Building'!T15</f>
        <v>2026</v>
      </c>
      <c r="V8" s="354">
        <f>'Revenue &amp; COGS Building'!U15</f>
        <v>2026</v>
      </c>
      <c r="W8" s="354">
        <f>'Revenue &amp; COGS Building'!V15</f>
        <v>2026</v>
      </c>
      <c r="X8" s="354">
        <f>'Revenue &amp; COGS Building'!W15</f>
        <v>2026</v>
      </c>
      <c r="Y8" s="354">
        <f>'Revenue &amp; COGS Building'!X15</f>
        <v>2026</v>
      </c>
      <c r="Z8" s="354">
        <f>'Revenue &amp; COGS Building'!Y15</f>
        <v>2026</v>
      </c>
      <c r="AA8" s="354">
        <f>'Revenue &amp; COGS Building'!Z15</f>
        <v>2026</v>
      </c>
      <c r="AB8" s="354">
        <f>'Revenue &amp; COGS Building'!AA15</f>
        <v>2027</v>
      </c>
      <c r="AC8" s="354">
        <f>'Revenue &amp; COGS Building'!AB15</f>
        <v>2027</v>
      </c>
      <c r="AD8" s="354">
        <f>'Revenue &amp; COGS Building'!AC15</f>
        <v>2027</v>
      </c>
      <c r="AE8" s="354">
        <f>'Revenue &amp; COGS Building'!AD15</f>
        <v>2027</v>
      </c>
      <c r="AF8" s="354">
        <f>'Revenue &amp; COGS Building'!AE15</f>
        <v>2027</v>
      </c>
      <c r="AG8" s="354">
        <f>'Revenue &amp; COGS Building'!AF15</f>
        <v>2027</v>
      </c>
      <c r="AH8" s="354">
        <f>'Revenue &amp; COGS Building'!AG15</f>
        <v>2027</v>
      </c>
      <c r="AI8" s="354">
        <f>'Revenue &amp; COGS Building'!AH15</f>
        <v>2027</v>
      </c>
      <c r="AJ8" s="354">
        <f>'Revenue &amp; COGS Building'!AI15</f>
        <v>2027</v>
      </c>
      <c r="AK8" s="354">
        <f>'Revenue &amp; COGS Building'!AJ15</f>
        <v>2027</v>
      </c>
      <c r="AL8" s="354">
        <f>'Revenue &amp; COGS Building'!AK15</f>
        <v>2027</v>
      </c>
      <c r="AM8" s="354">
        <f>'Revenue &amp; COGS Building'!AL15</f>
        <v>2027</v>
      </c>
      <c r="AN8" s="354">
        <f>'Revenue &amp; COGS Building'!AM15</f>
        <v>2028</v>
      </c>
      <c r="AO8" s="354">
        <f>'Revenue &amp; COGS Building'!AN15</f>
        <v>2028</v>
      </c>
      <c r="AP8" s="354">
        <f>'Revenue &amp; COGS Building'!AO15</f>
        <v>2028</v>
      </c>
      <c r="AQ8" s="354">
        <f>'Revenue &amp; COGS Building'!AP15</f>
        <v>2028</v>
      </c>
      <c r="AR8" s="354">
        <f>'Revenue &amp; COGS Building'!AQ15</f>
        <v>2028</v>
      </c>
      <c r="AS8" s="354">
        <f>'Revenue &amp; COGS Building'!AR15</f>
        <v>2028</v>
      </c>
      <c r="AT8" s="354">
        <f>'Revenue &amp; COGS Building'!AS15</f>
        <v>2028</v>
      </c>
      <c r="AU8" s="354">
        <f>'Revenue &amp; COGS Building'!AT15</f>
        <v>2028</v>
      </c>
      <c r="AV8" s="354">
        <f>'Revenue &amp; COGS Building'!AU15</f>
        <v>2028</v>
      </c>
      <c r="AW8" s="354">
        <f>'Revenue &amp; COGS Building'!AV15</f>
        <v>2028</v>
      </c>
      <c r="AX8" s="354">
        <f>'Revenue &amp; COGS Building'!AW15</f>
        <v>2028</v>
      </c>
      <c r="AY8" s="354">
        <f>'Revenue &amp; COGS Building'!AX15</f>
        <v>2028</v>
      </c>
      <c r="AZ8" s="153"/>
      <c r="BA8" s="153"/>
      <c r="BB8" s="153"/>
      <c r="BC8" s="153"/>
      <c r="BD8" s="153"/>
      <c r="BE8" s="153"/>
      <c r="BF8" s="153"/>
    </row>
    <row r="9" spans="1:58" s="11" customFormat="1" ht="15">
      <c r="A9" s="65"/>
      <c r="B9" s="319" t="s">
        <v>609</v>
      </c>
      <c r="C9" s="103"/>
      <c r="D9" s="62"/>
      <c r="E9" s="62"/>
      <c r="F9" s="150"/>
      <c r="G9" s="62"/>
      <c r="H9" s="62"/>
      <c r="I9" s="62"/>
      <c r="J9" s="61"/>
      <c r="K9" s="62"/>
      <c r="L9" s="62"/>
      <c r="M9" s="62"/>
      <c r="N9" s="213"/>
      <c r="O9" s="213"/>
      <c r="P9" s="62"/>
      <c r="Q9" s="62"/>
      <c r="R9" s="104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56"/>
      <c r="BA9" s="56"/>
      <c r="BB9" s="56"/>
      <c r="BC9" s="56"/>
      <c r="BD9" s="56"/>
      <c r="BE9" s="56"/>
      <c r="BF9" s="56"/>
    </row>
    <row r="10" spans="1:58" s="11" customFormat="1" ht="15">
      <c r="A10" s="65"/>
      <c r="B10" s="105" t="s">
        <v>193</v>
      </c>
      <c r="C10" s="105" t="s">
        <v>376</v>
      </c>
      <c r="D10" s="441">
        <v>2500</v>
      </c>
      <c r="E10" s="441">
        <v>2600</v>
      </c>
      <c r="F10" s="150">
        <f>+E10/D10-1</f>
        <v>4.0000000000000036E-2</v>
      </c>
      <c r="G10" s="444">
        <v>0.2</v>
      </c>
      <c r="H10" s="442">
        <f>+E10*G10</f>
        <v>520</v>
      </c>
      <c r="I10" s="445">
        <f>+E10+H10</f>
        <v>3120</v>
      </c>
      <c r="J10" s="446">
        <v>0.1</v>
      </c>
      <c r="K10" s="568">
        <v>1</v>
      </c>
      <c r="L10" s="568">
        <v>1</v>
      </c>
      <c r="M10" s="568">
        <v>0.45</v>
      </c>
      <c r="N10" s="568">
        <v>1</v>
      </c>
      <c r="O10" s="568">
        <v>1</v>
      </c>
      <c r="P10" s="445">
        <f t="shared" ref="P10:Y20" si="1">($I10 * (1+$J10)^P$7 / 12) * CHOOSE(P$7, $K10, $L10, $M10, $N10,$O10)</f>
        <v>286.00000000000006</v>
      </c>
      <c r="Q10" s="445">
        <f t="shared" si="1"/>
        <v>286.00000000000006</v>
      </c>
      <c r="R10" s="445">
        <f t="shared" si="1"/>
        <v>286.00000000000006</v>
      </c>
      <c r="S10" s="445">
        <f t="shared" si="1"/>
        <v>286.00000000000006</v>
      </c>
      <c r="T10" s="445">
        <f t="shared" si="1"/>
        <v>286.00000000000006</v>
      </c>
      <c r="U10" s="445">
        <f t="shared" si="1"/>
        <v>286.00000000000006</v>
      </c>
      <c r="V10" s="445">
        <f t="shared" si="1"/>
        <v>286.00000000000006</v>
      </c>
      <c r="W10" s="445">
        <f t="shared" si="1"/>
        <v>286.00000000000006</v>
      </c>
      <c r="X10" s="445">
        <f t="shared" si="1"/>
        <v>286.00000000000006</v>
      </c>
      <c r="Y10" s="445">
        <f t="shared" si="1"/>
        <v>286.00000000000006</v>
      </c>
      <c r="Z10" s="445">
        <f t="shared" ref="Z10:AI20" si="2">($I10 * (1+$J10)^Z$7 / 12) * CHOOSE(Z$7, $K10, $L10, $M10, $N10,$O10)</f>
        <v>286.00000000000006</v>
      </c>
      <c r="AA10" s="445">
        <f t="shared" si="2"/>
        <v>286.00000000000006</v>
      </c>
      <c r="AB10" s="445">
        <f t="shared" si="2"/>
        <v>314.60000000000008</v>
      </c>
      <c r="AC10" s="445">
        <f t="shared" si="2"/>
        <v>314.60000000000008</v>
      </c>
      <c r="AD10" s="445">
        <f t="shared" si="2"/>
        <v>314.60000000000008</v>
      </c>
      <c r="AE10" s="445">
        <f t="shared" si="2"/>
        <v>314.60000000000008</v>
      </c>
      <c r="AF10" s="445">
        <f t="shared" si="2"/>
        <v>314.60000000000008</v>
      </c>
      <c r="AG10" s="445">
        <f t="shared" si="2"/>
        <v>314.60000000000008</v>
      </c>
      <c r="AH10" s="445">
        <f t="shared" si="2"/>
        <v>314.60000000000008</v>
      </c>
      <c r="AI10" s="445">
        <f t="shared" si="2"/>
        <v>314.60000000000008</v>
      </c>
      <c r="AJ10" s="445">
        <f t="shared" ref="AJ10:AS20" si="3">($I10 * (1+$J10)^AJ$7 / 12) * CHOOSE(AJ$7, $K10, $L10, $M10, $N10,$O10)</f>
        <v>314.60000000000008</v>
      </c>
      <c r="AK10" s="445">
        <f t="shared" si="3"/>
        <v>314.60000000000008</v>
      </c>
      <c r="AL10" s="445">
        <f t="shared" si="3"/>
        <v>314.60000000000008</v>
      </c>
      <c r="AM10" s="445">
        <f t="shared" si="3"/>
        <v>314.60000000000008</v>
      </c>
      <c r="AN10" s="445">
        <f t="shared" si="3"/>
        <v>155.72700000000006</v>
      </c>
      <c r="AO10" s="445">
        <f t="shared" si="3"/>
        <v>155.72700000000006</v>
      </c>
      <c r="AP10" s="445">
        <f t="shared" si="3"/>
        <v>155.72700000000006</v>
      </c>
      <c r="AQ10" s="445">
        <f t="shared" si="3"/>
        <v>155.72700000000006</v>
      </c>
      <c r="AR10" s="445">
        <f t="shared" si="3"/>
        <v>155.72700000000006</v>
      </c>
      <c r="AS10" s="445">
        <f t="shared" si="3"/>
        <v>155.72700000000006</v>
      </c>
      <c r="AT10" s="445">
        <f t="shared" ref="AT10:AY20" si="4">($I10 * (1+$J10)^AT$7 / 12) * CHOOSE(AT$7, $K10, $L10, $M10, $N10,$O10)</f>
        <v>155.72700000000006</v>
      </c>
      <c r="AU10" s="445">
        <f t="shared" si="4"/>
        <v>155.72700000000006</v>
      </c>
      <c r="AV10" s="445">
        <f t="shared" si="4"/>
        <v>155.72700000000006</v>
      </c>
      <c r="AW10" s="445">
        <f t="shared" si="4"/>
        <v>155.72700000000006</v>
      </c>
      <c r="AX10" s="445">
        <f t="shared" si="4"/>
        <v>155.72700000000006</v>
      </c>
      <c r="AY10" s="445">
        <f t="shared" si="4"/>
        <v>155.72700000000006</v>
      </c>
      <c r="AZ10" s="56"/>
      <c r="BA10" s="56"/>
      <c r="BB10" s="56"/>
      <c r="BC10" s="56"/>
      <c r="BD10" s="56"/>
      <c r="BE10" s="56"/>
      <c r="BF10" s="56"/>
    </row>
    <row r="11" spans="1:58" s="11" customFormat="1" ht="15">
      <c r="A11" s="65"/>
      <c r="B11" s="105" t="s">
        <v>198</v>
      </c>
      <c r="C11" s="105" t="s">
        <v>377</v>
      </c>
      <c r="D11" s="441">
        <v>3500</v>
      </c>
      <c r="E11" s="441">
        <v>3800</v>
      </c>
      <c r="F11" s="150">
        <f>+E11/D11-1</f>
        <v>8.5714285714285632E-2</v>
      </c>
      <c r="G11" s="444">
        <v>0.2</v>
      </c>
      <c r="H11" s="442">
        <f t="shared" ref="H11:H15" si="5">+E11*G11</f>
        <v>760</v>
      </c>
      <c r="I11" s="445">
        <f t="shared" ref="I11:I15" si="6">+E11+H11</f>
        <v>4560</v>
      </c>
      <c r="J11" s="446">
        <v>0.1</v>
      </c>
      <c r="K11" s="568">
        <v>1</v>
      </c>
      <c r="L11" s="568">
        <v>1</v>
      </c>
      <c r="M11" s="568">
        <v>1</v>
      </c>
      <c r="N11" s="568">
        <v>1</v>
      </c>
      <c r="O11" s="568">
        <v>1</v>
      </c>
      <c r="P11" s="445">
        <f>($I11 * (1+$J11)^P$7 / 12) * CHOOSE(P$7, $K11, $L11, $M11, $N11,$O11)</f>
        <v>418</v>
      </c>
      <c r="Q11" s="445">
        <f t="shared" si="1"/>
        <v>418</v>
      </c>
      <c r="R11" s="445">
        <f t="shared" si="1"/>
        <v>418</v>
      </c>
      <c r="S11" s="445">
        <f t="shared" si="1"/>
        <v>418</v>
      </c>
      <c r="T11" s="445">
        <f t="shared" si="1"/>
        <v>418</v>
      </c>
      <c r="U11" s="445">
        <f t="shared" si="1"/>
        <v>418</v>
      </c>
      <c r="V11" s="445">
        <f t="shared" si="1"/>
        <v>418</v>
      </c>
      <c r="W11" s="445">
        <f t="shared" si="1"/>
        <v>418</v>
      </c>
      <c r="X11" s="445">
        <f t="shared" si="1"/>
        <v>418</v>
      </c>
      <c r="Y11" s="445">
        <f t="shared" si="1"/>
        <v>418</v>
      </c>
      <c r="Z11" s="445">
        <f t="shared" si="2"/>
        <v>418</v>
      </c>
      <c r="AA11" s="445">
        <f t="shared" si="2"/>
        <v>418</v>
      </c>
      <c r="AB11" s="445">
        <f t="shared" si="2"/>
        <v>459.80000000000013</v>
      </c>
      <c r="AC11" s="445">
        <f t="shared" si="2"/>
        <v>459.80000000000013</v>
      </c>
      <c r="AD11" s="445">
        <f t="shared" si="2"/>
        <v>459.80000000000013</v>
      </c>
      <c r="AE11" s="445">
        <f t="shared" si="2"/>
        <v>459.80000000000013</v>
      </c>
      <c r="AF11" s="445">
        <f t="shared" si="2"/>
        <v>459.80000000000013</v>
      </c>
      <c r="AG11" s="445">
        <f t="shared" si="2"/>
        <v>459.80000000000013</v>
      </c>
      <c r="AH11" s="445">
        <f t="shared" si="2"/>
        <v>459.80000000000013</v>
      </c>
      <c r="AI11" s="445">
        <f t="shared" si="2"/>
        <v>459.80000000000013</v>
      </c>
      <c r="AJ11" s="445">
        <f t="shared" si="3"/>
        <v>459.80000000000013</v>
      </c>
      <c r="AK11" s="445">
        <f t="shared" si="3"/>
        <v>459.80000000000013</v>
      </c>
      <c r="AL11" s="445">
        <f t="shared" si="3"/>
        <v>459.80000000000013</v>
      </c>
      <c r="AM11" s="445">
        <f t="shared" si="3"/>
        <v>459.80000000000013</v>
      </c>
      <c r="AN11" s="445">
        <f t="shared" si="3"/>
        <v>505.78000000000014</v>
      </c>
      <c r="AO11" s="445">
        <f t="shared" si="3"/>
        <v>505.78000000000014</v>
      </c>
      <c r="AP11" s="445">
        <f t="shared" si="3"/>
        <v>505.78000000000014</v>
      </c>
      <c r="AQ11" s="445">
        <f t="shared" si="3"/>
        <v>505.78000000000014</v>
      </c>
      <c r="AR11" s="445">
        <f t="shared" si="3"/>
        <v>505.78000000000014</v>
      </c>
      <c r="AS11" s="445">
        <f t="shared" si="3"/>
        <v>505.78000000000014</v>
      </c>
      <c r="AT11" s="445">
        <f t="shared" si="4"/>
        <v>505.78000000000014</v>
      </c>
      <c r="AU11" s="445">
        <f t="shared" si="4"/>
        <v>505.78000000000014</v>
      </c>
      <c r="AV11" s="445">
        <f t="shared" si="4"/>
        <v>505.78000000000014</v>
      </c>
      <c r="AW11" s="445">
        <f t="shared" si="4"/>
        <v>505.78000000000014</v>
      </c>
      <c r="AX11" s="445">
        <f t="shared" si="4"/>
        <v>505.78000000000014</v>
      </c>
      <c r="AY11" s="445">
        <f t="shared" si="4"/>
        <v>505.78000000000014</v>
      </c>
      <c r="AZ11" s="56"/>
      <c r="BA11" s="56"/>
      <c r="BB11" s="56"/>
      <c r="BC11" s="56"/>
      <c r="BD11" s="56"/>
      <c r="BE11" s="56"/>
      <c r="BF11" s="56"/>
    </row>
    <row r="12" spans="1:58" s="11" customFormat="1" ht="15">
      <c r="A12" s="65"/>
      <c r="B12" s="105" t="s">
        <v>199</v>
      </c>
      <c r="C12" s="105" t="s">
        <v>378</v>
      </c>
      <c r="D12" s="441">
        <v>4000</v>
      </c>
      <c r="E12" s="441">
        <v>4200</v>
      </c>
      <c r="F12" s="150">
        <f t="shared" ref="F12:F17" si="7">+E12/D12-1</f>
        <v>5.0000000000000044E-2</v>
      </c>
      <c r="G12" s="444">
        <v>0.2</v>
      </c>
      <c r="H12" s="442">
        <f t="shared" si="5"/>
        <v>840</v>
      </c>
      <c r="I12" s="445">
        <f t="shared" si="6"/>
        <v>5040</v>
      </c>
      <c r="J12" s="446">
        <v>0.1</v>
      </c>
      <c r="K12" s="568">
        <v>1</v>
      </c>
      <c r="L12" s="568">
        <v>1</v>
      </c>
      <c r="M12" s="568">
        <v>1</v>
      </c>
      <c r="N12" s="568">
        <v>1</v>
      </c>
      <c r="O12" s="568">
        <v>1</v>
      </c>
      <c r="P12" s="445">
        <f t="shared" si="1"/>
        <v>462</v>
      </c>
      <c r="Q12" s="445">
        <f t="shared" si="1"/>
        <v>462</v>
      </c>
      <c r="R12" s="445">
        <f t="shared" si="1"/>
        <v>462</v>
      </c>
      <c r="S12" s="445">
        <f t="shared" si="1"/>
        <v>462</v>
      </c>
      <c r="T12" s="445">
        <f t="shared" si="1"/>
        <v>462</v>
      </c>
      <c r="U12" s="445">
        <f t="shared" si="1"/>
        <v>462</v>
      </c>
      <c r="V12" s="445">
        <f t="shared" si="1"/>
        <v>462</v>
      </c>
      <c r="W12" s="445">
        <f t="shared" si="1"/>
        <v>462</v>
      </c>
      <c r="X12" s="445">
        <f t="shared" si="1"/>
        <v>462</v>
      </c>
      <c r="Y12" s="445">
        <f t="shared" si="1"/>
        <v>462</v>
      </c>
      <c r="Z12" s="445">
        <f t="shared" si="2"/>
        <v>462</v>
      </c>
      <c r="AA12" s="445">
        <f t="shared" si="2"/>
        <v>462</v>
      </c>
      <c r="AB12" s="445">
        <f t="shared" si="2"/>
        <v>508.20000000000005</v>
      </c>
      <c r="AC12" s="445">
        <f t="shared" si="2"/>
        <v>508.20000000000005</v>
      </c>
      <c r="AD12" s="445">
        <f t="shared" si="2"/>
        <v>508.20000000000005</v>
      </c>
      <c r="AE12" s="445">
        <f t="shared" si="2"/>
        <v>508.20000000000005</v>
      </c>
      <c r="AF12" s="445">
        <f t="shared" si="2"/>
        <v>508.20000000000005</v>
      </c>
      <c r="AG12" s="445">
        <f t="shared" si="2"/>
        <v>508.20000000000005</v>
      </c>
      <c r="AH12" s="445">
        <f t="shared" si="2"/>
        <v>508.20000000000005</v>
      </c>
      <c r="AI12" s="445">
        <f t="shared" si="2"/>
        <v>508.20000000000005</v>
      </c>
      <c r="AJ12" s="445">
        <f t="shared" si="3"/>
        <v>508.20000000000005</v>
      </c>
      <c r="AK12" s="445">
        <f t="shared" si="3"/>
        <v>508.20000000000005</v>
      </c>
      <c r="AL12" s="445">
        <f t="shared" si="3"/>
        <v>508.20000000000005</v>
      </c>
      <c r="AM12" s="445">
        <f t="shared" si="3"/>
        <v>508.20000000000005</v>
      </c>
      <c r="AN12" s="445">
        <f t="shared" si="3"/>
        <v>559.0200000000001</v>
      </c>
      <c r="AO12" s="445">
        <f t="shared" si="3"/>
        <v>559.0200000000001</v>
      </c>
      <c r="AP12" s="445">
        <f t="shared" si="3"/>
        <v>559.0200000000001</v>
      </c>
      <c r="AQ12" s="445">
        <f t="shared" si="3"/>
        <v>559.0200000000001</v>
      </c>
      <c r="AR12" s="445">
        <f t="shared" si="3"/>
        <v>559.0200000000001</v>
      </c>
      <c r="AS12" s="445">
        <f t="shared" si="3"/>
        <v>559.0200000000001</v>
      </c>
      <c r="AT12" s="445">
        <f t="shared" si="4"/>
        <v>559.0200000000001</v>
      </c>
      <c r="AU12" s="445">
        <f t="shared" si="4"/>
        <v>559.0200000000001</v>
      </c>
      <c r="AV12" s="445">
        <f t="shared" si="4"/>
        <v>559.0200000000001</v>
      </c>
      <c r="AW12" s="445">
        <f t="shared" si="4"/>
        <v>559.0200000000001</v>
      </c>
      <c r="AX12" s="445">
        <f t="shared" si="4"/>
        <v>559.0200000000001</v>
      </c>
      <c r="AY12" s="445">
        <f t="shared" si="4"/>
        <v>559.0200000000001</v>
      </c>
      <c r="AZ12" s="56"/>
      <c r="BA12" s="56"/>
      <c r="BB12" s="56"/>
      <c r="BC12" s="56"/>
      <c r="BD12" s="56"/>
      <c r="BE12" s="56"/>
      <c r="BF12" s="56"/>
    </row>
    <row r="13" spans="1:58" s="11" customFormat="1" ht="15">
      <c r="A13" s="65"/>
      <c r="B13" s="105" t="s">
        <v>192</v>
      </c>
      <c r="C13" s="105" t="s">
        <v>379</v>
      </c>
      <c r="D13" s="441">
        <v>5000</v>
      </c>
      <c r="E13" s="441">
        <v>5500</v>
      </c>
      <c r="F13" s="150">
        <f t="shared" si="7"/>
        <v>0.10000000000000009</v>
      </c>
      <c r="G13" s="444">
        <v>0.2</v>
      </c>
      <c r="H13" s="442">
        <f t="shared" si="5"/>
        <v>1100</v>
      </c>
      <c r="I13" s="445">
        <f t="shared" si="6"/>
        <v>6600</v>
      </c>
      <c r="J13" s="446">
        <v>0.1</v>
      </c>
      <c r="K13" s="568">
        <v>1</v>
      </c>
      <c r="L13" s="568">
        <v>1</v>
      </c>
      <c r="M13" s="568">
        <v>1</v>
      </c>
      <c r="N13" s="568">
        <v>1</v>
      </c>
      <c r="O13" s="568">
        <v>1</v>
      </c>
      <c r="P13" s="445">
        <f t="shared" si="1"/>
        <v>605.00000000000011</v>
      </c>
      <c r="Q13" s="445">
        <f t="shared" si="1"/>
        <v>605.00000000000011</v>
      </c>
      <c r="R13" s="445">
        <f t="shared" si="1"/>
        <v>605.00000000000011</v>
      </c>
      <c r="S13" s="445">
        <f t="shared" si="1"/>
        <v>605.00000000000011</v>
      </c>
      <c r="T13" s="445">
        <f t="shared" si="1"/>
        <v>605.00000000000011</v>
      </c>
      <c r="U13" s="445">
        <f t="shared" si="1"/>
        <v>605.00000000000011</v>
      </c>
      <c r="V13" s="445">
        <f t="shared" si="1"/>
        <v>605.00000000000011</v>
      </c>
      <c r="W13" s="445">
        <f t="shared" si="1"/>
        <v>605.00000000000011</v>
      </c>
      <c r="X13" s="445">
        <f t="shared" si="1"/>
        <v>605.00000000000011</v>
      </c>
      <c r="Y13" s="445">
        <f t="shared" si="1"/>
        <v>605.00000000000011</v>
      </c>
      <c r="Z13" s="445">
        <f t="shared" si="2"/>
        <v>605.00000000000011</v>
      </c>
      <c r="AA13" s="445">
        <f t="shared" si="2"/>
        <v>605.00000000000011</v>
      </c>
      <c r="AB13" s="445">
        <f t="shared" si="2"/>
        <v>665.50000000000011</v>
      </c>
      <c r="AC13" s="445">
        <f t="shared" si="2"/>
        <v>665.50000000000011</v>
      </c>
      <c r="AD13" s="445">
        <f t="shared" si="2"/>
        <v>665.50000000000011</v>
      </c>
      <c r="AE13" s="445">
        <f t="shared" si="2"/>
        <v>665.50000000000011</v>
      </c>
      <c r="AF13" s="445">
        <f t="shared" si="2"/>
        <v>665.50000000000011</v>
      </c>
      <c r="AG13" s="445">
        <f t="shared" si="2"/>
        <v>665.50000000000011</v>
      </c>
      <c r="AH13" s="445">
        <f t="shared" si="2"/>
        <v>665.50000000000011</v>
      </c>
      <c r="AI13" s="445">
        <f t="shared" si="2"/>
        <v>665.50000000000011</v>
      </c>
      <c r="AJ13" s="445">
        <f t="shared" si="3"/>
        <v>665.50000000000011</v>
      </c>
      <c r="AK13" s="445">
        <f t="shared" si="3"/>
        <v>665.50000000000011</v>
      </c>
      <c r="AL13" s="445">
        <f t="shared" si="3"/>
        <v>665.50000000000011</v>
      </c>
      <c r="AM13" s="445">
        <f t="shared" si="3"/>
        <v>665.50000000000011</v>
      </c>
      <c r="AN13" s="445">
        <f t="shared" si="3"/>
        <v>732.05000000000018</v>
      </c>
      <c r="AO13" s="445">
        <f t="shared" si="3"/>
        <v>732.05000000000018</v>
      </c>
      <c r="AP13" s="445">
        <f t="shared" si="3"/>
        <v>732.05000000000018</v>
      </c>
      <c r="AQ13" s="445">
        <f t="shared" si="3"/>
        <v>732.05000000000018</v>
      </c>
      <c r="AR13" s="445">
        <f t="shared" si="3"/>
        <v>732.05000000000018</v>
      </c>
      <c r="AS13" s="445">
        <f t="shared" si="3"/>
        <v>732.05000000000018</v>
      </c>
      <c r="AT13" s="445">
        <f t="shared" si="4"/>
        <v>732.05000000000018</v>
      </c>
      <c r="AU13" s="445">
        <f t="shared" si="4"/>
        <v>732.05000000000018</v>
      </c>
      <c r="AV13" s="445">
        <f t="shared" si="4"/>
        <v>732.05000000000018</v>
      </c>
      <c r="AW13" s="445">
        <f t="shared" si="4"/>
        <v>732.05000000000018</v>
      </c>
      <c r="AX13" s="445">
        <f t="shared" si="4"/>
        <v>732.05000000000018</v>
      </c>
      <c r="AY13" s="445">
        <f t="shared" si="4"/>
        <v>732.05000000000018</v>
      </c>
      <c r="AZ13" s="56"/>
      <c r="BA13" s="56"/>
      <c r="BB13" s="56"/>
      <c r="BC13" s="56"/>
      <c r="BD13" s="56"/>
      <c r="BE13" s="56"/>
      <c r="BF13" s="56"/>
    </row>
    <row r="14" spans="1:58" s="11" customFormat="1" ht="15">
      <c r="A14" s="65"/>
      <c r="B14" s="105" t="s">
        <v>197</v>
      </c>
      <c r="C14" s="105" t="s">
        <v>380</v>
      </c>
      <c r="D14" s="441">
        <v>5000</v>
      </c>
      <c r="E14" s="441">
        <v>5200</v>
      </c>
      <c r="F14" s="150">
        <f t="shared" si="7"/>
        <v>4.0000000000000036E-2</v>
      </c>
      <c r="G14" s="444">
        <v>0.15</v>
      </c>
      <c r="H14" s="442">
        <f t="shared" si="5"/>
        <v>780</v>
      </c>
      <c r="I14" s="445">
        <f t="shared" si="6"/>
        <v>5980</v>
      </c>
      <c r="J14" s="446">
        <v>0.1</v>
      </c>
      <c r="K14" s="568">
        <v>1</v>
      </c>
      <c r="L14" s="568">
        <v>1</v>
      </c>
      <c r="M14" s="568">
        <v>1</v>
      </c>
      <c r="N14" s="568">
        <v>1</v>
      </c>
      <c r="O14" s="568">
        <v>1</v>
      </c>
      <c r="P14" s="445">
        <f t="shared" si="1"/>
        <v>548.16666666666674</v>
      </c>
      <c r="Q14" s="445">
        <f t="shared" si="1"/>
        <v>548.16666666666674</v>
      </c>
      <c r="R14" s="445">
        <f t="shared" si="1"/>
        <v>548.16666666666674</v>
      </c>
      <c r="S14" s="445">
        <f t="shared" si="1"/>
        <v>548.16666666666674</v>
      </c>
      <c r="T14" s="445">
        <f t="shared" si="1"/>
        <v>548.16666666666674</v>
      </c>
      <c r="U14" s="445">
        <f t="shared" si="1"/>
        <v>548.16666666666674</v>
      </c>
      <c r="V14" s="445">
        <f t="shared" si="1"/>
        <v>548.16666666666674</v>
      </c>
      <c r="W14" s="445">
        <f t="shared" si="1"/>
        <v>548.16666666666674</v>
      </c>
      <c r="X14" s="445">
        <f t="shared" si="1"/>
        <v>548.16666666666674</v>
      </c>
      <c r="Y14" s="445">
        <f t="shared" si="1"/>
        <v>548.16666666666674</v>
      </c>
      <c r="Z14" s="445">
        <f t="shared" si="2"/>
        <v>548.16666666666674</v>
      </c>
      <c r="AA14" s="445">
        <f t="shared" si="2"/>
        <v>548.16666666666674</v>
      </c>
      <c r="AB14" s="445">
        <f t="shared" si="2"/>
        <v>602.98333333333346</v>
      </c>
      <c r="AC14" s="445">
        <f t="shared" si="2"/>
        <v>602.98333333333346</v>
      </c>
      <c r="AD14" s="445">
        <f t="shared" si="2"/>
        <v>602.98333333333346</v>
      </c>
      <c r="AE14" s="445">
        <f t="shared" si="2"/>
        <v>602.98333333333346</v>
      </c>
      <c r="AF14" s="445">
        <f t="shared" si="2"/>
        <v>602.98333333333346</v>
      </c>
      <c r="AG14" s="445">
        <f t="shared" si="2"/>
        <v>602.98333333333346</v>
      </c>
      <c r="AH14" s="445">
        <f t="shared" si="2"/>
        <v>602.98333333333346</v>
      </c>
      <c r="AI14" s="445">
        <f t="shared" si="2"/>
        <v>602.98333333333346</v>
      </c>
      <c r="AJ14" s="445">
        <f t="shared" si="3"/>
        <v>602.98333333333346</v>
      </c>
      <c r="AK14" s="445">
        <f t="shared" si="3"/>
        <v>602.98333333333346</v>
      </c>
      <c r="AL14" s="445">
        <f t="shared" si="3"/>
        <v>602.98333333333346</v>
      </c>
      <c r="AM14" s="445">
        <f t="shared" si="3"/>
        <v>602.98333333333346</v>
      </c>
      <c r="AN14" s="445">
        <f t="shared" si="3"/>
        <v>663.28166666666687</v>
      </c>
      <c r="AO14" s="445">
        <f t="shared" si="3"/>
        <v>663.28166666666687</v>
      </c>
      <c r="AP14" s="445">
        <f t="shared" si="3"/>
        <v>663.28166666666687</v>
      </c>
      <c r="AQ14" s="445">
        <f t="shared" si="3"/>
        <v>663.28166666666687</v>
      </c>
      <c r="AR14" s="445">
        <f t="shared" si="3"/>
        <v>663.28166666666687</v>
      </c>
      <c r="AS14" s="445">
        <f t="shared" si="3"/>
        <v>663.28166666666687</v>
      </c>
      <c r="AT14" s="445">
        <f t="shared" si="4"/>
        <v>663.28166666666687</v>
      </c>
      <c r="AU14" s="445">
        <f t="shared" si="4"/>
        <v>663.28166666666687</v>
      </c>
      <c r="AV14" s="445">
        <f t="shared" si="4"/>
        <v>663.28166666666687</v>
      </c>
      <c r="AW14" s="445">
        <f t="shared" si="4"/>
        <v>663.28166666666687</v>
      </c>
      <c r="AX14" s="445">
        <f t="shared" si="4"/>
        <v>663.28166666666687</v>
      </c>
      <c r="AY14" s="445">
        <f t="shared" si="4"/>
        <v>663.28166666666687</v>
      </c>
      <c r="AZ14" s="56"/>
      <c r="BA14" s="56"/>
      <c r="BB14" s="56"/>
      <c r="BC14" s="56"/>
      <c r="BD14" s="56"/>
      <c r="BE14" s="56"/>
      <c r="BF14" s="56"/>
    </row>
    <row r="15" spans="1:58" s="11" customFormat="1" ht="15">
      <c r="A15" s="65"/>
      <c r="B15" s="105" t="s">
        <v>200</v>
      </c>
      <c r="C15" s="105" t="s">
        <v>381</v>
      </c>
      <c r="D15" s="441">
        <v>5000</v>
      </c>
      <c r="E15" s="441">
        <v>5200</v>
      </c>
      <c r="F15" s="150">
        <f t="shared" si="7"/>
        <v>4.0000000000000036E-2</v>
      </c>
      <c r="G15" s="444">
        <v>0.15</v>
      </c>
      <c r="H15" s="442">
        <f t="shared" si="5"/>
        <v>780</v>
      </c>
      <c r="I15" s="445">
        <f t="shared" si="6"/>
        <v>5980</v>
      </c>
      <c r="J15" s="446">
        <v>0.05</v>
      </c>
      <c r="K15" s="568">
        <v>1</v>
      </c>
      <c r="L15" s="568">
        <v>1</v>
      </c>
      <c r="M15" s="568">
        <v>1</v>
      </c>
      <c r="N15" s="568">
        <v>1</v>
      </c>
      <c r="O15" s="568">
        <v>1</v>
      </c>
      <c r="P15" s="445">
        <f t="shared" si="1"/>
        <v>523.25</v>
      </c>
      <c r="Q15" s="445">
        <f t="shared" si="1"/>
        <v>523.25</v>
      </c>
      <c r="R15" s="445">
        <f t="shared" si="1"/>
        <v>523.25</v>
      </c>
      <c r="S15" s="445">
        <f t="shared" si="1"/>
        <v>523.25</v>
      </c>
      <c r="T15" s="445">
        <f t="shared" si="1"/>
        <v>523.25</v>
      </c>
      <c r="U15" s="445">
        <f t="shared" si="1"/>
        <v>523.25</v>
      </c>
      <c r="V15" s="445">
        <f t="shared" si="1"/>
        <v>523.25</v>
      </c>
      <c r="W15" s="445">
        <f t="shared" si="1"/>
        <v>523.25</v>
      </c>
      <c r="X15" s="445">
        <f t="shared" si="1"/>
        <v>523.25</v>
      </c>
      <c r="Y15" s="445">
        <f t="shared" si="1"/>
        <v>523.25</v>
      </c>
      <c r="Z15" s="445">
        <f t="shared" si="2"/>
        <v>523.25</v>
      </c>
      <c r="AA15" s="445">
        <f t="shared" si="2"/>
        <v>523.25</v>
      </c>
      <c r="AB15" s="445">
        <f t="shared" si="2"/>
        <v>549.41250000000002</v>
      </c>
      <c r="AC15" s="445">
        <f t="shared" si="2"/>
        <v>549.41250000000002</v>
      </c>
      <c r="AD15" s="445">
        <f t="shared" si="2"/>
        <v>549.41250000000002</v>
      </c>
      <c r="AE15" s="445">
        <f t="shared" si="2"/>
        <v>549.41250000000002</v>
      </c>
      <c r="AF15" s="445">
        <f t="shared" si="2"/>
        <v>549.41250000000002</v>
      </c>
      <c r="AG15" s="445">
        <f t="shared" si="2"/>
        <v>549.41250000000002</v>
      </c>
      <c r="AH15" s="445">
        <f t="shared" si="2"/>
        <v>549.41250000000002</v>
      </c>
      <c r="AI15" s="445">
        <f t="shared" si="2"/>
        <v>549.41250000000002</v>
      </c>
      <c r="AJ15" s="445">
        <f t="shared" si="3"/>
        <v>549.41250000000002</v>
      </c>
      <c r="AK15" s="445">
        <f t="shared" si="3"/>
        <v>549.41250000000002</v>
      </c>
      <c r="AL15" s="445">
        <f t="shared" si="3"/>
        <v>549.41250000000002</v>
      </c>
      <c r="AM15" s="445">
        <f t="shared" si="3"/>
        <v>549.41250000000002</v>
      </c>
      <c r="AN15" s="445">
        <f t="shared" si="3"/>
        <v>576.88312500000006</v>
      </c>
      <c r="AO15" s="445">
        <f t="shared" si="3"/>
        <v>576.88312500000006</v>
      </c>
      <c r="AP15" s="445">
        <f t="shared" si="3"/>
        <v>576.88312500000006</v>
      </c>
      <c r="AQ15" s="445">
        <f t="shared" si="3"/>
        <v>576.88312500000006</v>
      </c>
      <c r="AR15" s="445">
        <f t="shared" si="3"/>
        <v>576.88312500000006</v>
      </c>
      <c r="AS15" s="445">
        <f t="shared" si="3"/>
        <v>576.88312500000006</v>
      </c>
      <c r="AT15" s="445">
        <f t="shared" si="4"/>
        <v>576.88312500000006</v>
      </c>
      <c r="AU15" s="445">
        <f t="shared" si="4"/>
        <v>576.88312500000006</v>
      </c>
      <c r="AV15" s="445">
        <f t="shared" si="4"/>
        <v>576.88312500000006</v>
      </c>
      <c r="AW15" s="445">
        <f t="shared" si="4"/>
        <v>576.88312500000006</v>
      </c>
      <c r="AX15" s="445">
        <f t="shared" si="4"/>
        <v>576.88312500000006</v>
      </c>
      <c r="AY15" s="445">
        <f t="shared" si="4"/>
        <v>576.88312500000006</v>
      </c>
      <c r="AZ15" s="56"/>
      <c r="BA15" s="56"/>
      <c r="BB15" s="56"/>
      <c r="BC15" s="56"/>
      <c r="BD15" s="56"/>
      <c r="BE15" s="56"/>
      <c r="BF15" s="56"/>
    </row>
    <row r="16" spans="1:58" s="11" customFormat="1" ht="15">
      <c r="A16" s="65"/>
      <c r="B16" s="105" t="s">
        <v>200</v>
      </c>
      <c r="C16" s="105" t="s">
        <v>382</v>
      </c>
      <c r="D16" s="441">
        <v>5000</v>
      </c>
      <c r="E16" s="441">
        <v>5200</v>
      </c>
      <c r="F16" s="150">
        <f t="shared" si="7"/>
        <v>4.0000000000000036E-2</v>
      </c>
      <c r="G16" s="444">
        <v>0.15</v>
      </c>
      <c r="H16" s="442">
        <f t="shared" ref="H16" si="8">+E16*G16</f>
        <v>780</v>
      </c>
      <c r="I16" s="445">
        <f t="shared" ref="I16:I17" si="9">+E16+H16</f>
        <v>5980</v>
      </c>
      <c r="J16" s="446">
        <v>7.0000000000000007E-2</v>
      </c>
      <c r="K16" s="568">
        <f>100%</f>
        <v>1</v>
      </c>
      <c r="L16" s="568">
        <v>0.5</v>
      </c>
      <c r="M16" s="568">
        <v>1</v>
      </c>
      <c r="N16" s="568">
        <v>1</v>
      </c>
      <c r="O16" s="568">
        <v>1</v>
      </c>
      <c r="P16" s="445">
        <f t="shared" si="1"/>
        <v>533.2166666666667</v>
      </c>
      <c r="Q16" s="445">
        <f t="shared" si="1"/>
        <v>533.2166666666667</v>
      </c>
      <c r="R16" s="445">
        <f t="shared" si="1"/>
        <v>533.2166666666667</v>
      </c>
      <c r="S16" s="445">
        <f t="shared" si="1"/>
        <v>533.2166666666667</v>
      </c>
      <c r="T16" s="445">
        <f t="shared" si="1"/>
        <v>533.2166666666667</v>
      </c>
      <c r="U16" s="445">
        <f t="shared" si="1"/>
        <v>533.2166666666667</v>
      </c>
      <c r="V16" s="445">
        <f t="shared" si="1"/>
        <v>533.2166666666667</v>
      </c>
      <c r="W16" s="445">
        <f t="shared" si="1"/>
        <v>533.2166666666667</v>
      </c>
      <c r="X16" s="445">
        <f t="shared" si="1"/>
        <v>533.2166666666667</v>
      </c>
      <c r="Y16" s="445">
        <f t="shared" si="1"/>
        <v>533.2166666666667</v>
      </c>
      <c r="Z16" s="445">
        <f t="shared" si="2"/>
        <v>533.2166666666667</v>
      </c>
      <c r="AA16" s="445">
        <f t="shared" si="2"/>
        <v>533.2166666666667</v>
      </c>
      <c r="AB16" s="445">
        <f t="shared" si="2"/>
        <v>285.27091666666666</v>
      </c>
      <c r="AC16" s="445">
        <f t="shared" si="2"/>
        <v>285.27091666666666</v>
      </c>
      <c r="AD16" s="445">
        <f t="shared" si="2"/>
        <v>285.27091666666666</v>
      </c>
      <c r="AE16" s="445">
        <f t="shared" si="2"/>
        <v>285.27091666666666</v>
      </c>
      <c r="AF16" s="445">
        <f t="shared" si="2"/>
        <v>285.27091666666666</v>
      </c>
      <c r="AG16" s="445">
        <f t="shared" si="2"/>
        <v>285.27091666666666</v>
      </c>
      <c r="AH16" s="445">
        <f t="shared" si="2"/>
        <v>285.27091666666666</v>
      </c>
      <c r="AI16" s="445">
        <f t="shared" si="2"/>
        <v>285.27091666666666</v>
      </c>
      <c r="AJ16" s="445">
        <f t="shared" si="3"/>
        <v>285.27091666666666</v>
      </c>
      <c r="AK16" s="445">
        <f t="shared" si="3"/>
        <v>285.27091666666666</v>
      </c>
      <c r="AL16" s="445">
        <f t="shared" si="3"/>
        <v>285.27091666666666</v>
      </c>
      <c r="AM16" s="445">
        <f t="shared" si="3"/>
        <v>285.27091666666666</v>
      </c>
      <c r="AN16" s="445">
        <f t="shared" si="3"/>
        <v>610.47976166666672</v>
      </c>
      <c r="AO16" s="445">
        <f t="shared" si="3"/>
        <v>610.47976166666672</v>
      </c>
      <c r="AP16" s="445">
        <f t="shared" si="3"/>
        <v>610.47976166666672</v>
      </c>
      <c r="AQ16" s="445">
        <f t="shared" si="3"/>
        <v>610.47976166666672</v>
      </c>
      <c r="AR16" s="445">
        <f t="shared" si="3"/>
        <v>610.47976166666672</v>
      </c>
      <c r="AS16" s="445">
        <f t="shared" si="3"/>
        <v>610.47976166666672</v>
      </c>
      <c r="AT16" s="445">
        <f t="shared" si="4"/>
        <v>610.47976166666672</v>
      </c>
      <c r="AU16" s="445">
        <f t="shared" si="4"/>
        <v>610.47976166666672</v>
      </c>
      <c r="AV16" s="445">
        <f t="shared" si="4"/>
        <v>610.47976166666672</v>
      </c>
      <c r="AW16" s="445">
        <f t="shared" si="4"/>
        <v>610.47976166666672</v>
      </c>
      <c r="AX16" s="445">
        <f t="shared" si="4"/>
        <v>610.47976166666672</v>
      </c>
      <c r="AY16" s="445">
        <f t="shared" si="4"/>
        <v>610.47976166666672</v>
      </c>
      <c r="AZ16" s="56"/>
      <c r="BA16" s="56"/>
      <c r="BB16" s="56"/>
      <c r="BC16" s="56"/>
      <c r="BD16" s="56"/>
      <c r="BE16" s="56"/>
      <c r="BF16" s="56"/>
    </row>
    <row r="17" spans="1:58" s="11" customFormat="1" ht="15">
      <c r="A17" s="65"/>
      <c r="B17" s="105" t="s">
        <v>200</v>
      </c>
      <c r="C17" s="105" t="s">
        <v>383</v>
      </c>
      <c r="D17" s="441">
        <v>5000</v>
      </c>
      <c r="E17" s="441">
        <v>5200</v>
      </c>
      <c r="F17" s="150">
        <f t="shared" si="7"/>
        <v>4.0000000000000036E-2</v>
      </c>
      <c r="G17" s="444">
        <v>0.15</v>
      </c>
      <c r="H17" s="442">
        <f>+E17*G17</f>
        <v>780</v>
      </c>
      <c r="I17" s="445">
        <f t="shared" si="9"/>
        <v>5980</v>
      </c>
      <c r="J17" s="446">
        <v>0.1</v>
      </c>
      <c r="K17" s="568">
        <f>100%</f>
        <v>1</v>
      </c>
      <c r="L17" s="568">
        <f>100%</f>
        <v>1</v>
      </c>
      <c r="M17" s="568">
        <v>0.5</v>
      </c>
      <c r="N17" s="568">
        <v>1</v>
      </c>
      <c r="O17" s="568">
        <v>1</v>
      </c>
      <c r="P17" s="445">
        <f t="shared" si="1"/>
        <v>548.16666666666674</v>
      </c>
      <c r="Q17" s="445">
        <f t="shared" si="1"/>
        <v>548.16666666666674</v>
      </c>
      <c r="R17" s="445">
        <f t="shared" si="1"/>
        <v>548.16666666666674</v>
      </c>
      <c r="S17" s="445">
        <f t="shared" si="1"/>
        <v>548.16666666666674</v>
      </c>
      <c r="T17" s="445">
        <f t="shared" si="1"/>
        <v>548.16666666666674</v>
      </c>
      <c r="U17" s="445">
        <f t="shared" si="1"/>
        <v>548.16666666666674</v>
      </c>
      <c r="V17" s="445">
        <f t="shared" si="1"/>
        <v>548.16666666666674</v>
      </c>
      <c r="W17" s="445">
        <f t="shared" si="1"/>
        <v>548.16666666666674</v>
      </c>
      <c r="X17" s="445">
        <f t="shared" si="1"/>
        <v>548.16666666666674</v>
      </c>
      <c r="Y17" s="445">
        <f t="shared" si="1"/>
        <v>548.16666666666674</v>
      </c>
      <c r="Z17" s="445">
        <f t="shared" si="2"/>
        <v>548.16666666666674</v>
      </c>
      <c r="AA17" s="445">
        <f t="shared" si="2"/>
        <v>548.16666666666674</v>
      </c>
      <c r="AB17" s="445">
        <f t="shared" si="2"/>
        <v>602.98333333333346</v>
      </c>
      <c r="AC17" s="445">
        <f t="shared" si="2"/>
        <v>602.98333333333346</v>
      </c>
      <c r="AD17" s="445">
        <f t="shared" si="2"/>
        <v>602.98333333333346</v>
      </c>
      <c r="AE17" s="445">
        <f t="shared" si="2"/>
        <v>602.98333333333346</v>
      </c>
      <c r="AF17" s="445">
        <f t="shared" si="2"/>
        <v>602.98333333333346</v>
      </c>
      <c r="AG17" s="445">
        <f t="shared" si="2"/>
        <v>602.98333333333346</v>
      </c>
      <c r="AH17" s="445">
        <f t="shared" si="2"/>
        <v>602.98333333333346</v>
      </c>
      <c r="AI17" s="445">
        <f t="shared" si="2"/>
        <v>602.98333333333346</v>
      </c>
      <c r="AJ17" s="445">
        <f t="shared" si="3"/>
        <v>602.98333333333346</v>
      </c>
      <c r="AK17" s="445">
        <f t="shared" si="3"/>
        <v>602.98333333333346</v>
      </c>
      <c r="AL17" s="445">
        <f t="shared" si="3"/>
        <v>602.98333333333346</v>
      </c>
      <c r="AM17" s="445">
        <f t="shared" si="3"/>
        <v>602.98333333333346</v>
      </c>
      <c r="AN17" s="445">
        <f t="shared" si="3"/>
        <v>331.64083333333343</v>
      </c>
      <c r="AO17" s="445">
        <f t="shared" si="3"/>
        <v>331.64083333333343</v>
      </c>
      <c r="AP17" s="445">
        <f t="shared" si="3"/>
        <v>331.64083333333343</v>
      </c>
      <c r="AQ17" s="445">
        <f t="shared" si="3"/>
        <v>331.64083333333343</v>
      </c>
      <c r="AR17" s="445">
        <f t="shared" si="3"/>
        <v>331.64083333333343</v>
      </c>
      <c r="AS17" s="445">
        <f t="shared" si="3"/>
        <v>331.64083333333343</v>
      </c>
      <c r="AT17" s="445">
        <f t="shared" si="4"/>
        <v>331.64083333333343</v>
      </c>
      <c r="AU17" s="445">
        <f t="shared" si="4"/>
        <v>331.64083333333343</v>
      </c>
      <c r="AV17" s="445">
        <f t="shared" si="4"/>
        <v>331.64083333333343</v>
      </c>
      <c r="AW17" s="445">
        <f t="shared" si="4"/>
        <v>331.64083333333343</v>
      </c>
      <c r="AX17" s="445">
        <f t="shared" si="4"/>
        <v>331.64083333333343</v>
      </c>
      <c r="AY17" s="445">
        <f t="shared" si="4"/>
        <v>331.64083333333343</v>
      </c>
      <c r="AZ17" s="56"/>
      <c r="BA17" s="56"/>
      <c r="BB17" s="56"/>
      <c r="BC17" s="56"/>
      <c r="BD17" s="56"/>
      <c r="BE17" s="56"/>
      <c r="BF17" s="56"/>
    </row>
    <row r="18" spans="1:58" s="11" customFormat="1" ht="15">
      <c r="A18" s="65"/>
      <c r="B18" s="105" t="s">
        <v>384</v>
      </c>
      <c r="C18" s="105" t="s">
        <v>395</v>
      </c>
      <c r="D18" s="441">
        <v>5000</v>
      </c>
      <c r="E18" s="441">
        <v>5200</v>
      </c>
      <c r="F18" s="150"/>
      <c r="G18" s="447"/>
      <c r="H18" s="442">
        <f>+E18*G18</f>
        <v>0</v>
      </c>
      <c r="I18" s="445">
        <f>+E18+H18</f>
        <v>5200</v>
      </c>
      <c r="J18" s="446"/>
      <c r="K18" s="568">
        <v>0.5</v>
      </c>
      <c r="L18" s="568">
        <f>100%</f>
        <v>1</v>
      </c>
      <c r="M18" s="568">
        <v>0.5</v>
      </c>
      <c r="N18" s="568">
        <v>1</v>
      </c>
      <c r="O18" s="568">
        <v>1</v>
      </c>
      <c r="P18" s="445">
        <f t="shared" si="1"/>
        <v>216.66666666666666</v>
      </c>
      <c r="Q18" s="445">
        <f t="shared" si="1"/>
        <v>216.66666666666666</v>
      </c>
      <c r="R18" s="445">
        <f t="shared" si="1"/>
        <v>216.66666666666666</v>
      </c>
      <c r="S18" s="445">
        <f t="shared" si="1"/>
        <v>216.66666666666666</v>
      </c>
      <c r="T18" s="445">
        <f t="shared" si="1"/>
        <v>216.66666666666666</v>
      </c>
      <c r="U18" s="445">
        <f t="shared" si="1"/>
        <v>216.66666666666666</v>
      </c>
      <c r="V18" s="445">
        <f t="shared" si="1"/>
        <v>216.66666666666666</v>
      </c>
      <c r="W18" s="445">
        <f t="shared" si="1"/>
        <v>216.66666666666666</v>
      </c>
      <c r="X18" s="445">
        <f t="shared" si="1"/>
        <v>216.66666666666666</v>
      </c>
      <c r="Y18" s="445">
        <f t="shared" si="1"/>
        <v>216.66666666666666</v>
      </c>
      <c r="Z18" s="445">
        <f t="shared" si="2"/>
        <v>216.66666666666666</v>
      </c>
      <c r="AA18" s="445">
        <f t="shared" si="2"/>
        <v>216.66666666666666</v>
      </c>
      <c r="AB18" s="445">
        <f t="shared" si="2"/>
        <v>433.33333333333331</v>
      </c>
      <c r="AC18" s="445">
        <f t="shared" si="2"/>
        <v>433.33333333333331</v>
      </c>
      <c r="AD18" s="445">
        <f t="shared" si="2"/>
        <v>433.33333333333331</v>
      </c>
      <c r="AE18" s="445">
        <f t="shared" si="2"/>
        <v>433.33333333333331</v>
      </c>
      <c r="AF18" s="445">
        <f t="shared" si="2"/>
        <v>433.33333333333331</v>
      </c>
      <c r="AG18" s="445">
        <f t="shared" si="2"/>
        <v>433.33333333333331</v>
      </c>
      <c r="AH18" s="445">
        <f t="shared" si="2"/>
        <v>433.33333333333331</v>
      </c>
      <c r="AI18" s="445">
        <f t="shared" si="2"/>
        <v>433.33333333333331</v>
      </c>
      <c r="AJ18" s="445">
        <f t="shared" si="3"/>
        <v>433.33333333333331</v>
      </c>
      <c r="AK18" s="445">
        <f t="shared" si="3"/>
        <v>433.33333333333331</v>
      </c>
      <c r="AL18" s="445">
        <f t="shared" si="3"/>
        <v>433.33333333333331</v>
      </c>
      <c r="AM18" s="445">
        <f t="shared" si="3"/>
        <v>433.33333333333331</v>
      </c>
      <c r="AN18" s="445">
        <f t="shared" si="3"/>
        <v>216.66666666666666</v>
      </c>
      <c r="AO18" s="445">
        <f t="shared" si="3"/>
        <v>216.66666666666666</v>
      </c>
      <c r="AP18" s="445">
        <f t="shared" si="3"/>
        <v>216.66666666666666</v>
      </c>
      <c r="AQ18" s="445">
        <f t="shared" si="3"/>
        <v>216.66666666666666</v>
      </c>
      <c r="AR18" s="445">
        <f t="shared" si="3"/>
        <v>216.66666666666666</v>
      </c>
      <c r="AS18" s="445">
        <f t="shared" si="3"/>
        <v>216.66666666666666</v>
      </c>
      <c r="AT18" s="445">
        <f t="shared" si="4"/>
        <v>216.66666666666666</v>
      </c>
      <c r="AU18" s="445">
        <f t="shared" si="4"/>
        <v>216.66666666666666</v>
      </c>
      <c r="AV18" s="445">
        <f t="shared" si="4"/>
        <v>216.66666666666666</v>
      </c>
      <c r="AW18" s="445">
        <f t="shared" si="4"/>
        <v>216.66666666666666</v>
      </c>
      <c r="AX18" s="445">
        <f t="shared" si="4"/>
        <v>216.66666666666666</v>
      </c>
      <c r="AY18" s="445">
        <f t="shared" si="4"/>
        <v>216.66666666666666</v>
      </c>
      <c r="AZ18" s="56"/>
      <c r="BA18" s="56"/>
      <c r="BB18" s="56"/>
      <c r="BC18" s="56"/>
      <c r="BD18" s="56"/>
      <c r="BE18" s="56"/>
      <c r="BF18" s="56"/>
    </row>
    <row r="19" spans="1:58" s="11" customFormat="1" ht="15">
      <c r="A19" s="65"/>
      <c r="B19" s="105" t="s">
        <v>384</v>
      </c>
      <c r="C19" s="105" t="s">
        <v>396</v>
      </c>
      <c r="D19" s="441">
        <v>5000</v>
      </c>
      <c r="E19" s="441">
        <v>5200</v>
      </c>
      <c r="F19" s="150"/>
      <c r="G19" s="447"/>
      <c r="H19" s="442">
        <f t="shared" ref="H19:H20" si="10">+E19*G19</f>
        <v>0</v>
      </c>
      <c r="I19" s="445">
        <f t="shared" ref="I19:I20" si="11">+E19+H19</f>
        <v>5200</v>
      </c>
      <c r="J19" s="446"/>
      <c r="K19" s="568">
        <v>0</v>
      </c>
      <c r="L19" s="568">
        <f>100%</f>
        <v>1</v>
      </c>
      <c r="M19" s="568">
        <f>100%</f>
        <v>1</v>
      </c>
      <c r="N19" s="568">
        <v>0.7</v>
      </c>
      <c r="O19" s="568">
        <v>1</v>
      </c>
      <c r="P19" s="445">
        <f t="shared" si="1"/>
        <v>0</v>
      </c>
      <c r="Q19" s="445">
        <f t="shared" si="1"/>
        <v>0</v>
      </c>
      <c r="R19" s="445">
        <f t="shared" si="1"/>
        <v>0</v>
      </c>
      <c r="S19" s="445">
        <f t="shared" si="1"/>
        <v>0</v>
      </c>
      <c r="T19" s="445">
        <f t="shared" si="1"/>
        <v>0</v>
      </c>
      <c r="U19" s="445">
        <f t="shared" si="1"/>
        <v>0</v>
      </c>
      <c r="V19" s="445">
        <f t="shared" si="1"/>
        <v>0</v>
      </c>
      <c r="W19" s="445">
        <f t="shared" si="1"/>
        <v>0</v>
      </c>
      <c r="X19" s="445">
        <f t="shared" si="1"/>
        <v>0</v>
      </c>
      <c r="Y19" s="445">
        <f t="shared" si="1"/>
        <v>0</v>
      </c>
      <c r="Z19" s="445">
        <f t="shared" si="2"/>
        <v>0</v>
      </c>
      <c r="AA19" s="445">
        <f t="shared" si="2"/>
        <v>0</v>
      </c>
      <c r="AB19" s="445">
        <f t="shared" si="2"/>
        <v>433.33333333333331</v>
      </c>
      <c r="AC19" s="445">
        <f t="shared" si="2"/>
        <v>433.33333333333331</v>
      </c>
      <c r="AD19" s="445">
        <f t="shared" si="2"/>
        <v>433.33333333333331</v>
      </c>
      <c r="AE19" s="445">
        <f t="shared" si="2"/>
        <v>433.33333333333331</v>
      </c>
      <c r="AF19" s="445">
        <f t="shared" si="2"/>
        <v>433.33333333333331</v>
      </c>
      <c r="AG19" s="445">
        <f t="shared" si="2"/>
        <v>433.33333333333331</v>
      </c>
      <c r="AH19" s="445">
        <f t="shared" si="2"/>
        <v>433.33333333333331</v>
      </c>
      <c r="AI19" s="445">
        <f t="shared" si="2"/>
        <v>433.33333333333331</v>
      </c>
      <c r="AJ19" s="445">
        <f t="shared" si="3"/>
        <v>433.33333333333331</v>
      </c>
      <c r="AK19" s="445">
        <f t="shared" si="3"/>
        <v>433.33333333333331</v>
      </c>
      <c r="AL19" s="445">
        <f t="shared" si="3"/>
        <v>433.33333333333331</v>
      </c>
      <c r="AM19" s="445">
        <f t="shared" si="3"/>
        <v>433.33333333333331</v>
      </c>
      <c r="AN19" s="445">
        <f t="shared" si="3"/>
        <v>433.33333333333331</v>
      </c>
      <c r="AO19" s="445">
        <f t="shared" si="3"/>
        <v>433.33333333333331</v>
      </c>
      <c r="AP19" s="445">
        <f t="shared" si="3"/>
        <v>433.33333333333331</v>
      </c>
      <c r="AQ19" s="445">
        <f t="shared" si="3"/>
        <v>433.33333333333331</v>
      </c>
      <c r="AR19" s="445">
        <f t="shared" si="3"/>
        <v>433.33333333333331</v>
      </c>
      <c r="AS19" s="445">
        <f t="shared" si="3"/>
        <v>433.33333333333331</v>
      </c>
      <c r="AT19" s="445">
        <f t="shared" si="4"/>
        <v>433.33333333333331</v>
      </c>
      <c r="AU19" s="445">
        <f t="shared" si="4"/>
        <v>433.33333333333331</v>
      </c>
      <c r="AV19" s="445">
        <f t="shared" si="4"/>
        <v>433.33333333333331</v>
      </c>
      <c r="AW19" s="445">
        <f t="shared" si="4"/>
        <v>433.33333333333331</v>
      </c>
      <c r="AX19" s="445">
        <f t="shared" si="4"/>
        <v>433.33333333333331</v>
      </c>
      <c r="AY19" s="445">
        <f t="shared" si="4"/>
        <v>433.33333333333331</v>
      </c>
      <c r="AZ19" s="56"/>
      <c r="BA19" s="56"/>
      <c r="BB19" s="56"/>
      <c r="BC19" s="56"/>
      <c r="BD19" s="56"/>
      <c r="BE19" s="56"/>
      <c r="BF19" s="56"/>
    </row>
    <row r="20" spans="1:58" s="11" customFormat="1" ht="15">
      <c r="A20" s="65"/>
      <c r="B20" s="105" t="s">
        <v>384</v>
      </c>
      <c r="C20" s="105" t="s">
        <v>397</v>
      </c>
      <c r="D20" s="441">
        <v>5000</v>
      </c>
      <c r="E20" s="441">
        <v>5200</v>
      </c>
      <c r="F20" s="150"/>
      <c r="G20" s="447"/>
      <c r="H20" s="442">
        <f t="shared" si="10"/>
        <v>0</v>
      </c>
      <c r="I20" s="445">
        <f t="shared" si="11"/>
        <v>5200</v>
      </c>
      <c r="J20" s="446"/>
      <c r="K20" s="568">
        <v>0.25</v>
      </c>
      <c r="L20" s="568">
        <f>100%</f>
        <v>1</v>
      </c>
      <c r="M20" s="568">
        <f>100%</f>
        <v>1</v>
      </c>
      <c r="N20" s="568">
        <v>0.5</v>
      </c>
      <c r="O20" s="568">
        <v>1</v>
      </c>
      <c r="P20" s="445">
        <f t="shared" si="1"/>
        <v>108.33333333333333</v>
      </c>
      <c r="Q20" s="445">
        <f t="shared" si="1"/>
        <v>108.33333333333333</v>
      </c>
      <c r="R20" s="445">
        <f t="shared" si="1"/>
        <v>108.33333333333333</v>
      </c>
      <c r="S20" s="445">
        <f t="shared" si="1"/>
        <v>108.33333333333333</v>
      </c>
      <c r="T20" s="445">
        <f t="shared" si="1"/>
        <v>108.33333333333333</v>
      </c>
      <c r="U20" s="445">
        <f t="shared" si="1"/>
        <v>108.33333333333333</v>
      </c>
      <c r="V20" s="445">
        <f t="shared" si="1"/>
        <v>108.33333333333333</v>
      </c>
      <c r="W20" s="445">
        <f t="shared" si="1"/>
        <v>108.33333333333333</v>
      </c>
      <c r="X20" s="445">
        <f t="shared" si="1"/>
        <v>108.33333333333333</v>
      </c>
      <c r="Y20" s="445">
        <f t="shared" si="1"/>
        <v>108.33333333333333</v>
      </c>
      <c r="Z20" s="445">
        <f t="shared" si="2"/>
        <v>108.33333333333333</v>
      </c>
      <c r="AA20" s="445">
        <f t="shared" si="2"/>
        <v>108.33333333333333</v>
      </c>
      <c r="AB20" s="445">
        <f t="shared" si="2"/>
        <v>433.33333333333331</v>
      </c>
      <c r="AC20" s="445">
        <f t="shared" si="2"/>
        <v>433.33333333333331</v>
      </c>
      <c r="AD20" s="445">
        <f t="shared" si="2"/>
        <v>433.33333333333331</v>
      </c>
      <c r="AE20" s="445">
        <f t="shared" si="2"/>
        <v>433.33333333333331</v>
      </c>
      <c r="AF20" s="445">
        <f t="shared" si="2"/>
        <v>433.33333333333331</v>
      </c>
      <c r="AG20" s="445">
        <f t="shared" si="2"/>
        <v>433.33333333333331</v>
      </c>
      <c r="AH20" s="445">
        <f t="shared" si="2"/>
        <v>433.33333333333331</v>
      </c>
      <c r="AI20" s="445">
        <f t="shared" si="2"/>
        <v>433.33333333333331</v>
      </c>
      <c r="AJ20" s="445">
        <f t="shared" si="3"/>
        <v>433.33333333333331</v>
      </c>
      <c r="AK20" s="445">
        <f t="shared" si="3"/>
        <v>433.33333333333331</v>
      </c>
      <c r="AL20" s="445">
        <f t="shared" si="3"/>
        <v>433.33333333333331</v>
      </c>
      <c r="AM20" s="445">
        <f t="shared" si="3"/>
        <v>433.33333333333331</v>
      </c>
      <c r="AN20" s="445">
        <f t="shared" si="3"/>
        <v>433.33333333333331</v>
      </c>
      <c r="AO20" s="445">
        <f t="shared" si="3"/>
        <v>433.33333333333331</v>
      </c>
      <c r="AP20" s="445">
        <f t="shared" si="3"/>
        <v>433.33333333333331</v>
      </c>
      <c r="AQ20" s="445">
        <f t="shared" si="3"/>
        <v>433.33333333333331</v>
      </c>
      <c r="AR20" s="445">
        <f t="shared" si="3"/>
        <v>433.33333333333331</v>
      </c>
      <c r="AS20" s="445">
        <f t="shared" si="3"/>
        <v>433.33333333333331</v>
      </c>
      <c r="AT20" s="445">
        <f t="shared" si="4"/>
        <v>433.33333333333331</v>
      </c>
      <c r="AU20" s="445">
        <f t="shared" si="4"/>
        <v>433.33333333333331</v>
      </c>
      <c r="AV20" s="445">
        <f t="shared" si="4"/>
        <v>433.33333333333331</v>
      </c>
      <c r="AW20" s="445">
        <f t="shared" si="4"/>
        <v>433.33333333333331</v>
      </c>
      <c r="AX20" s="445">
        <f t="shared" si="4"/>
        <v>433.33333333333331</v>
      </c>
      <c r="AY20" s="445">
        <f t="shared" si="4"/>
        <v>433.33333333333331</v>
      </c>
      <c r="AZ20" s="56"/>
      <c r="BA20" s="56"/>
      <c r="BB20" s="56"/>
      <c r="BC20" s="56"/>
      <c r="BD20" s="56"/>
      <c r="BE20" s="56"/>
      <c r="BF20" s="56"/>
    </row>
    <row r="21" spans="1:58" s="11" customFormat="1" ht="15">
      <c r="A21" s="65"/>
      <c r="B21" s="56"/>
      <c r="C21" s="56"/>
      <c r="D21" s="443">
        <f>SUM(D10:D20)</f>
        <v>50000</v>
      </c>
      <c r="E21" s="443">
        <f>SUM(E10:E20)</f>
        <v>52500</v>
      </c>
      <c r="F21" s="154">
        <f>+E21/D21-1</f>
        <v>5.0000000000000044E-2</v>
      </c>
      <c r="G21" s="448"/>
      <c r="H21" s="443">
        <f>SUM(H10:H20)</f>
        <v>6340</v>
      </c>
      <c r="I21" s="443">
        <f>SUM(I10:I20)</f>
        <v>58840</v>
      </c>
      <c r="J21" s="449"/>
      <c r="K21" s="450"/>
      <c r="L21" s="450"/>
      <c r="M21" s="450"/>
      <c r="N21" s="451"/>
      <c r="O21" s="451"/>
      <c r="P21" s="443">
        <f t="shared" ref="P21:AA21" si="12">SUM(P10:P20)</f>
        <v>4248.8</v>
      </c>
      <c r="Q21" s="443">
        <f t="shared" si="12"/>
        <v>4248.8</v>
      </c>
      <c r="R21" s="443">
        <f t="shared" si="12"/>
        <v>4248.8</v>
      </c>
      <c r="S21" s="443">
        <f t="shared" si="12"/>
        <v>4248.8</v>
      </c>
      <c r="T21" s="443">
        <f t="shared" si="12"/>
        <v>4248.8</v>
      </c>
      <c r="U21" s="443">
        <f t="shared" si="12"/>
        <v>4248.8</v>
      </c>
      <c r="V21" s="443">
        <f t="shared" si="12"/>
        <v>4248.8</v>
      </c>
      <c r="W21" s="443">
        <f t="shared" si="12"/>
        <v>4248.8</v>
      </c>
      <c r="X21" s="443">
        <f t="shared" si="12"/>
        <v>4248.8</v>
      </c>
      <c r="Y21" s="443">
        <f t="shared" si="12"/>
        <v>4248.8</v>
      </c>
      <c r="Z21" s="443">
        <f t="shared" si="12"/>
        <v>4248.8</v>
      </c>
      <c r="AA21" s="443">
        <f t="shared" si="12"/>
        <v>4248.8</v>
      </c>
      <c r="AB21" s="443">
        <f t="shared" ref="AB21:AH21" si="13">SUM(AB10:AB20)</f>
        <v>5288.7500833333334</v>
      </c>
      <c r="AC21" s="443">
        <f t="shared" si="13"/>
        <v>5288.7500833333334</v>
      </c>
      <c r="AD21" s="443">
        <f t="shared" si="13"/>
        <v>5288.7500833333334</v>
      </c>
      <c r="AE21" s="443">
        <f t="shared" si="13"/>
        <v>5288.7500833333334</v>
      </c>
      <c r="AF21" s="443">
        <f t="shared" si="13"/>
        <v>5288.7500833333334</v>
      </c>
      <c r="AG21" s="443">
        <f t="shared" si="13"/>
        <v>5288.7500833333334</v>
      </c>
      <c r="AH21" s="443">
        <f t="shared" si="13"/>
        <v>5288.7500833333334</v>
      </c>
      <c r="AI21" s="443">
        <f t="shared" ref="AI21:AY21" si="14">SUM(AI10:AI20)</f>
        <v>5288.7500833333334</v>
      </c>
      <c r="AJ21" s="443">
        <f t="shared" si="14"/>
        <v>5288.7500833333334</v>
      </c>
      <c r="AK21" s="443">
        <f t="shared" si="14"/>
        <v>5288.7500833333334</v>
      </c>
      <c r="AL21" s="443">
        <f t="shared" si="14"/>
        <v>5288.7500833333334</v>
      </c>
      <c r="AM21" s="443">
        <f t="shared" si="14"/>
        <v>5288.7500833333334</v>
      </c>
      <c r="AN21" s="443">
        <f t="shared" si="14"/>
        <v>5218.1957200000006</v>
      </c>
      <c r="AO21" s="443">
        <f t="shared" si="14"/>
        <v>5218.1957200000006</v>
      </c>
      <c r="AP21" s="443">
        <f t="shared" si="14"/>
        <v>5218.1957200000006</v>
      </c>
      <c r="AQ21" s="443">
        <f t="shared" si="14"/>
        <v>5218.1957200000006</v>
      </c>
      <c r="AR21" s="443">
        <f t="shared" si="14"/>
        <v>5218.1957200000006</v>
      </c>
      <c r="AS21" s="443">
        <f t="shared" si="14"/>
        <v>5218.1957200000006</v>
      </c>
      <c r="AT21" s="443">
        <f t="shared" si="14"/>
        <v>5218.1957200000006</v>
      </c>
      <c r="AU21" s="443">
        <f t="shared" si="14"/>
        <v>5218.1957200000006</v>
      </c>
      <c r="AV21" s="443">
        <f t="shared" si="14"/>
        <v>5218.1957200000006</v>
      </c>
      <c r="AW21" s="443">
        <f t="shared" si="14"/>
        <v>5218.1957200000006</v>
      </c>
      <c r="AX21" s="443">
        <f t="shared" si="14"/>
        <v>5218.1957200000006</v>
      </c>
      <c r="AY21" s="443">
        <f t="shared" si="14"/>
        <v>5218.1957200000006</v>
      </c>
      <c r="AZ21" s="56"/>
      <c r="BA21" s="56"/>
      <c r="BB21" s="56"/>
      <c r="BC21" s="56"/>
      <c r="BD21" s="56"/>
      <c r="BE21" s="56"/>
      <c r="BF21" s="56"/>
    </row>
    <row r="22" spans="1:58" s="11" customFormat="1" ht="15">
      <c r="A22" s="65"/>
      <c r="B22" s="319" t="s">
        <v>610</v>
      </c>
      <c r="C22" s="138"/>
      <c r="D22" s="145"/>
      <c r="E22" s="145"/>
      <c r="F22" s="155"/>
      <c r="G22" s="156"/>
      <c r="H22" s="156"/>
      <c r="I22" s="145"/>
      <c r="J22" s="340"/>
      <c r="K22" s="157"/>
      <c r="L22" s="157"/>
      <c r="M22" s="157"/>
      <c r="N22" s="214"/>
      <c r="O22" s="214"/>
      <c r="P22" s="156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56"/>
      <c r="BA22" s="56"/>
      <c r="BB22" s="56"/>
      <c r="BC22" s="56"/>
      <c r="BD22" s="56"/>
      <c r="BE22" s="56"/>
      <c r="BF22" s="56"/>
    </row>
    <row r="23" spans="1:58" ht="15">
      <c r="A23" s="59"/>
      <c r="B23" s="105" t="s">
        <v>189</v>
      </c>
      <c r="C23" s="105" t="s">
        <v>376</v>
      </c>
      <c r="D23" s="441">
        <v>90000</v>
      </c>
      <c r="E23" s="441">
        <v>98000</v>
      </c>
      <c r="F23" s="150">
        <f>+E23/D23-1</f>
        <v>8.8888888888888795E-2</v>
      </c>
      <c r="G23" s="444">
        <v>0.25</v>
      </c>
      <c r="H23" s="442">
        <f>+E23*G23</f>
        <v>24500</v>
      </c>
      <c r="I23" s="445">
        <f>+E23+H23</f>
        <v>122500</v>
      </c>
      <c r="J23" s="446">
        <v>0.1</v>
      </c>
      <c r="K23" s="568">
        <v>1</v>
      </c>
      <c r="L23" s="568">
        <v>1</v>
      </c>
      <c r="M23" s="568">
        <v>1</v>
      </c>
      <c r="N23" s="568">
        <v>1</v>
      </c>
      <c r="O23" s="568">
        <v>1</v>
      </c>
      <c r="P23" s="445">
        <f t="shared" ref="P23:Y33" si="15">($I23 * (1+$J23)^P$7 / 12) * CHOOSE(P$7, $K23, $L23, $M23, $N23,$O23)</f>
        <v>11229.166666666666</v>
      </c>
      <c r="Q23" s="445">
        <f t="shared" si="15"/>
        <v>11229.166666666666</v>
      </c>
      <c r="R23" s="445">
        <f t="shared" si="15"/>
        <v>11229.166666666666</v>
      </c>
      <c r="S23" s="445">
        <f t="shared" si="15"/>
        <v>11229.166666666666</v>
      </c>
      <c r="T23" s="445">
        <f t="shared" si="15"/>
        <v>11229.166666666666</v>
      </c>
      <c r="U23" s="445">
        <f t="shared" si="15"/>
        <v>11229.166666666666</v>
      </c>
      <c r="V23" s="445">
        <f t="shared" si="15"/>
        <v>11229.166666666666</v>
      </c>
      <c r="W23" s="445">
        <f t="shared" si="15"/>
        <v>11229.166666666666</v>
      </c>
      <c r="X23" s="445">
        <f t="shared" si="15"/>
        <v>11229.166666666666</v>
      </c>
      <c r="Y23" s="445">
        <f t="shared" si="15"/>
        <v>11229.166666666666</v>
      </c>
      <c r="Z23" s="445">
        <f t="shared" ref="Z23:AI33" si="16">($I23 * (1+$J23)^Z$7 / 12) * CHOOSE(Z$7, $K23, $L23, $M23, $N23,$O23)</f>
        <v>11229.166666666666</v>
      </c>
      <c r="AA23" s="445">
        <f t="shared" si="16"/>
        <v>11229.166666666666</v>
      </c>
      <c r="AB23" s="445">
        <f t="shared" si="16"/>
        <v>12352.083333333336</v>
      </c>
      <c r="AC23" s="445">
        <f t="shared" si="16"/>
        <v>12352.083333333336</v>
      </c>
      <c r="AD23" s="445">
        <f t="shared" si="16"/>
        <v>12352.083333333336</v>
      </c>
      <c r="AE23" s="445">
        <f t="shared" si="16"/>
        <v>12352.083333333336</v>
      </c>
      <c r="AF23" s="445">
        <f t="shared" si="16"/>
        <v>12352.083333333336</v>
      </c>
      <c r="AG23" s="445">
        <f t="shared" si="16"/>
        <v>12352.083333333336</v>
      </c>
      <c r="AH23" s="445">
        <f t="shared" si="16"/>
        <v>12352.083333333336</v>
      </c>
      <c r="AI23" s="445">
        <f t="shared" si="16"/>
        <v>12352.083333333336</v>
      </c>
      <c r="AJ23" s="445">
        <f t="shared" ref="AJ23:AS33" si="17">($I23 * (1+$J23)^AJ$7 / 12) * CHOOSE(AJ$7, $K23, $L23, $M23, $N23,$O23)</f>
        <v>12352.083333333336</v>
      </c>
      <c r="AK23" s="445">
        <f t="shared" si="17"/>
        <v>12352.083333333336</v>
      </c>
      <c r="AL23" s="445">
        <f t="shared" si="17"/>
        <v>12352.083333333336</v>
      </c>
      <c r="AM23" s="445">
        <f t="shared" si="17"/>
        <v>12352.083333333336</v>
      </c>
      <c r="AN23" s="445">
        <f t="shared" si="17"/>
        <v>13587.291666666672</v>
      </c>
      <c r="AO23" s="445">
        <f t="shared" si="17"/>
        <v>13587.291666666672</v>
      </c>
      <c r="AP23" s="445">
        <f t="shared" si="17"/>
        <v>13587.291666666672</v>
      </c>
      <c r="AQ23" s="445">
        <f t="shared" si="17"/>
        <v>13587.291666666672</v>
      </c>
      <c r="AR23" s="445">
        <f t="shared" si="17"/>
        <v>13587.291666666672</v>
      </c>
      <c r="AS23" s="445">
        <f t="shared" si="17"/>
        <v>13587.291666666672</v>
      </c>
      <c r="AT23" s="445">
        <f t="shared" ref="AT23:AY33" si="18">($I23 * (1+$J23)^AT$7 / 12) * CHOOSE(AT$7, $K23, $L23, $M23, $N23,$O23)</f>
        <v>13587.291666666672</v>
      </c>
      <c r="AU23" s="445">
        <f t="shared" si="18"/>
        <v>13587.291666666672</v>
      </c>
      <c r="AV23" s="445">
        <f t="shared" si="18"/>
        <v>13587.291666666672</v>
      </c>
      <c r="AW23" s="445">
        <f t="shared" si="18"/>
        <v>13587.291666666672</v>
      </c>
      <c r="AX23" s="445">
        <f t="shared" si="18"/>
        <v>13587.291666666672</v>
      </c>
      <c r="AY23" s="445">
        <f t="shared" si="18"/>
        <v>13587.291666666672</v>
      </c>
      <c r="AZ23" s="58"/>
      <c r="BA23" s="58"/>
      <c r="BB23" s="58"/>
      <c r="BC23" s="58"/>
      <c r="BD23" s="58"/>
      <c r="BE23" s="58"/>
      <c r="BF23" s="58"/>
    </row>
    <row r="24" spans="1:58" ht="15">
      <c r="A24" s="59"/>
      <c r="B24" s="105" t="s">
        <v>190</v>
      </c>
      <c r="C24" s="105" t="s">
        <v>377</v>
      </c>
      <c r="D24" s="441">
        <v>75000</v>
      </c>
      <c r="E24" s="441">
        <v>78000</v>
      </c>
      <c r="F24" s="150">
        <f>+E24/D24-1</f>
        <v>4.0000000000000036E-2</v>
      </c>
      <c r="G24" s="444">
        <v>0.2</v>
      </c>
      <c r="H24" s="442">
        <f t="shared" ref="H24:H27" si="19">+E24*G24</f>
        <v>15600</v>
      </c>
      <c r="I24" s="445">
        <f t="shared" ref="I24:I27" si="20">+E24+H24</f>
        <v>93600</v>
      </c>
      <c r="J24" s="446">
        <v>0.1</v>
      </c>
      <c r="K24" s="568">
        <v>1</v>
      </c>
      <c r="L24" s="568">
        <v>1</v>
      </c>
      <c r="M24" s="568">
        <v>1</v>
      </c>
      <c r="N24" s="568">
        <v>1</v>
      </c>
      <c r="O24" s="568">
        <v>1</v>
      </c>
      <c r="P24" s="445">
        <f t="shared" si="15"/>
        <v>8580.0000000000018</v>
      </c>
      <c r="Q24" s="445">
        <f t="shared" si="15"/>
        <v>8580.0000000000018</v>
      </c>
      <c r="R24" s="445">
        <f t="shared" si="15"/>
        <v>8580.0000000000018</v>
      </c>
      <c r="S24" s="445">
        <f t="shared" si="15"/>
        <v>8580.0000000000018</v>
      </c>
      <c r="T24" s="445">
        <f t="shared" si="15"/>
        <v>8580.0000000000018</v>
      </c>
      <c r="U24" s="445">
        <f t="shared" si="15"/>
        <v>8580.0000000000018</v>
      </c>
      <c r="V24" s="445">
        <f t="shared" si="15"/>
        <v>8580.0000000000018</v>
      </c>
      <c r="W24" s="445">
        <f t="shared" si="15"/>
        <v>8580.0000000000018</v>
      </c>
      <c r="X24" s="445">
        <f t="shared" si="15"/>
        <v>8580.0000000000018</v>
      </c>
      <c r="Y24" s="445">
        <f t="shared" si="15"/>
        <v>8580.0000000000018</v>
      </c>
      <c r="Z24" s="445">
        <f t="shared" si="16"/>
        <v>8580.0000000000018</v>
      </c>
      <c r="AA24" s="445">
        <f t="shared" si="16"/>
        <v>8580.0000000000018</v>
      </c>
      <c r="AB24" s="445">
        <f t="shared" si="16"/>
        <v>9438.0000000000018</v>
      </c>
      <c r="AC24" s="445">
        <f t="shared" si="16"/>
        <v>9438.0000000000018</v>
      </c>
      <c r="AD24" s="445">
        <f t="shared" si="16"/>
        <v>9438.0000000000018</v>
      </c>
      <c r="AE24" s="445">
        <f t="shared" si="16"/>
        <v>9438.0000000000018</v>
      </c>
      <c r="AF24" s="445">
        <f t="shared" si="16"/>
        <v>9438.0000000000018</v>
      </c>
      <c r="AG24" s="445">
        <f t="shared" si="16"/>
        <v>9438.0000000000018</v>
      </c>
      <c r="AH24" s="445">
        <f t="shared" si="16"/>
        <v>9438.0000000000018</v>
      </c>
      <c r="AI24" s="445">
        <f t="shared" si="16"/>
        <v>9438.0000000000018</v>
      </c>
      <c r="AJ24" s="445">
        <f t="shared" si="17"/>
        <v>9438.0000000000018</v>
      </c>
      <c r="AK24" s="445">
        <f t="shared" si="17"/>
        <v>9438.0000000000018</v>
      </c>
      <c r="AL24" s="445">
        <f t="shared" si="17"/>
        <v>9438.0000000000018</v>
      </c>
      <c r="AM24" s="445">
        <f t="shared" si="17"/>
        <v>9438.0000000000018</v>
      </c>
      <c r="AN24" s="445">
        <f t="shared" si="17"/>
        <v>10381.800000000003</v>
      </c>
      <c r="AO24" s="445">
        <f t="shared" si="17"/>
        <v>10381.800000000003</v>
      </c>
      <c r="AP24" s="445">
        <f t="shared" si="17"/>
        <v>10381.800000000003</v>
      </c>
      <c r="AQ24" s="445">
        <f t="shared" si="17"/>
        <v>10381.800000000003</v>
      </c>
      <c r="AR24" s="445">
        <f t="shared" si="17"/>
        <v>10381.800000000003</v>
      </c>
      <c r="AS24" s="445">
        <f t="shared" si="17"/>
        <v>10381.800000000003</v>
      </c>
      <c r="AT24" s="445">
        <f t="shared" si="18"/>
        <v>10381.800000000003</v>
      </c>
      <c r="AU24" s="445">
        <f t="shared" si="18"/>
        <v>10381.800000000003</v>
      </c>
      <c r="AV24" s="445">
        <f t="shared" si="18"/>
        <v>10381.800000000003</v>
      </c>
      <c r="AW24" s="445">
        <f t="shared" si="18"/>
        <v>10381.800000000003</v>
      </c>
      <c r="AX24" s="445">
        <f t="shared" si="18"/>
        <v>10381.800000000003</v>
      </c>
      <c r="AY24" s="445">
        <f t="shared" si="18"/>
        <v>10381.800000000003</v>
      </c>
      <c r="AZ24" s="58"/>
      <c r="BA24" s="58"/>
      <c r="BB24" s="58"/>
      <c r="BC24" s="58"/>
      <c r="BD24" s="58"/>
      <c r="BE24" s="58"/>
      <c r="BF24" s="58"/>
    </row>
    <row r="25" spans="1:58" ht="15">
      <c r="A25" s="59"/>
      <c r="B25" s="105" t="s">
        <v>191</v>
      </c>
      <c r="C25" s="105" t="s">
        <v>378</v>
      </c>
      <c r="D25" s="441">
        <v>50000</v>
      </c>
      <c r="E25" s="441">
        <v>52000</v>
      </c>
      <c r="F25" s="150">
        <f t="shared" ref="F25:F27" si="21">+E25/D25-1</f>
        <v>4.0000000000000036E-2</v>
      </c>
      <c r="G25" s="444">
        <v>0.1</v>
      </c>
      <c r="H25" s="442">
        <f t="shared" si="19"/>
        <v>5200</v>
      </c>
      <c r="I25" s="445">
        <f t="shared" si="20"/>
        <v>57200</v>
      </c>
      <c r="J25" s="446">
        <v>7.0000000000000007E-2</v>
      </c>
      <c r="K25" s="568">
        <v>1</v>
      </c>
      <c r="L25" s="568">
        <v>1</v>
      </c>
      <c r="M25" s="568">
        <v>1</v>
      </c>
      <c r="N25" s="568">
        <v>1</v>
      </c>
      <c r="O25" s="568">
        <v>1</v>
      </c>
      <c r="P25" s="445">
        <f t="shared" si="15"/>
        <v>5100.333333333333</v>
      </c>
      <c r="Q25" s="445">
        <f t="shared" si="15"/>
        <v>5100.333333333333</v>
      </c>
      <c r="R25" s="445">
        <f>($I25 * (1+$J25)^R$7 / 12) * CHOOSE(R$7, $K25, $L25, $M25, $N25,$O25)</f>
        <v>5100.333333333333</v>
      </c>
      <c r="S25" s="445">
        <f t="shared" si="15"/>
        <v>5100.333333333333</v>
      </c>
      <c r="T25" s="445">
        <f t="shared" si="15"/>
        <v>5100.333333333333</v>
      </c>
      <c r="U25" s="445">
        <f t="shared" si="15"/>
        <v>5100.333333333333</v>
      </c>
      <c r="V25" s="445">
        <f t="shared" si="15"/>
        <v>5100.333333333333</v>
      </c>
      <c r="W25" s="445">
        <f t="shared" si="15"/>
        <v>5100.333333333333</v>
      </c>
      <c r="X25" s="445">
        <f t="shared" si="15"/>
        <v>5100.333333333333</v>
      </c>
      <c r="Y25" s="445">
        <f t="shared" si="15"/>
        <v>5100.333333333333</v>
      </c>
      <c r="Z25" s="445">
        <f t="shared" si="16"/>
        <v>5100.333333333333</v>
      </c>
      <c r="AA25" s="445">
        <f t="shared" si="16"/>
        <v>5100.333333333333</v>
      </c>
      <c r="AB25" s="445">
        <f t="shared" si="16"/>
        <v>5457.3566666666666</v>
      </c>
      <c r="AC25" s="445">
        <f t="shared" si="16"/>
        <v>5457.3566666666666</v>
      </c>
      <c r="AD25" s="445">
        <f t="shared" si="16"/>
        <v>5457.3566666666666</v>
      </c>
      <c r="AE25" s="445">
        <f t="shared" si="16"/>
        <v>5457.3566666666666</v>
      </c>
      <c r="AF25" s="445">
        <f t="shared" si="16"/>
        <v>5457.3566666666666</v>
      </c>
      <c r="AG25" s="445">
        <f t="shared" si="16"/>
        <v>5457.3566666666666</v>
      </c>
      <c r="AH25" s="445">
        <f t="shared" si="16"/>
        <v>5457.3566666666666</v>
      </c>
      <c r="AI25" s="445">
        <f t="shared" si="16"/>
        <v>5457.3566666666666</v>
      </c>
      <c r="AJ25" s="445">
        <f t="shared" si="17"/>
        <v>5457.3566666666666</v>
      </c>
      <c r="AK25" s="445">
        <f t="shared" si="17"/>
        <v>5457.3566666666666</v>
      </c>
      <c r="AL25" s="445">
        <f t="shared" si="17"/>
        <v>5457.3566666666666</v>
      </c>
      <c r="AM25" s="445">
        <f t="shared" si="17"/>
        <v>5457.3566666666666</v>
      </c>
      <c r="AN25" s="445">
        <f t="shared" si="17"/>
        <v>5839.3716333333332</v>
      </c>
      <c r="AO25" s="445">
        <f t="shared" si="17"/>
        <v>5839.3716333333332</v>
      </c>
      <c r="AP25" s="445">
        <f t="shared" si="17"/>
        <v>5839.3716333333332</v>
      </c>
      <c r="AQ25" s="445">
        <f t="shared" si="17"/>
        <v>5839.3716333333332</v>
      </c>
      <c r="AR25" s="445">
        <f t="shared" si="17"/>
        <v>5839.3716333333332</v>
      </c>
      <c r="AS25" s="445">
        <f t="shared" si="17"/>
        <v>5839.3716333333332</v>
      </c>
      <c r="AT25" s="445">
        <f t="shared" si="18"/>
        <v>5839.3716333333332</v>
      </c>
      <c r="AU25" s="445">
        <f t="shared" si="18"/>
        <v>5839.3716333333332</v>
      </c>
      <c r="AV25" s="445">
        <f t="shared" si="18"/>
        <v>5839.3716333333332</v>
      </c>
      <c r="AW25" s="445">
        <f t="shared" si="18"/>
        <v>5839.3716333333332</v>
      </c>
      <c r="AX25" s="445">
        <f t="shared" si="18"/>
        <v>5839.3716333333332</v>
      </c>
      <c r="AY25" s="445">
        <f t="shared" si="18"/>
        <v>5839.3716333333332</v>
      </c>
      <c r="AZ25" s="58"/>
      <c r="BA25" s="58"/>
      <c r="BB25" s="58"/>
      <c r="BC25" s="58"/>
      <c r="BD25" s="58"/>
      <c r="BE25" s="58"/>
      <c r="BF25" s="58"/>
    </row>
    <row r="26" spans="1:58" ht="15">
      <c r="A26" s="59"/>
      <c r="B26" s="105" t="s">
        <v>194</v>
      </c>
      <c r="C26" s="105" t="s">
        <v>379</v>
      </c>
      <c r="D26" s="441">
        <v>50000</v>
      </c>
      <c r="E26" s="441">
        <v>55000</v>
      </c>
      <c r="F26" s="150">
        <f t="shared" si="21"/>
        <v>0.10000000000000009</v>
      </c>
      <c r="G26" s="444">
        <v>0.1</v>
      </c>
      <c r="H26" s="442">
        <f t="shared" si="19"/>
        <v>5500</v>
      </c>
      <c r="I26" s="445">
        <f t="shared" si="20"/>
        <v>60500</v>
      </c>
      <c r="J26" s="446">
        <v>0.1</v>
      </c>
      <c r="K26" s="568">
        <v>1</v>
      </c>
      <c r="L26" s="568">
        <v>1</v>
      </c>
      <c r="M26" s="568">
        <v>1</v>
      </c>
      <c r="N26" s="568">
        <v>1</v>
      </c>
      <c r="O26" s="568">
        <v>1</v>
      </c>
      <c r="P26" s="445">
        <f t="shared" si="15"/>
        <v>5545.833333333333</v>
      </c>
      <c r="Q26" s="445">
        <f t="shared" si="15"/>
        <v>5545.833333333333</v>
      </c>
      <c r="R26" s="445">
        <f>($I26 * (1+$J26)^R$7 / 12) * CHOOSE(R$7, $K26, $L26, $M26, $N26,$O26)</f>
        <v>5545.833333333333</v>
      </c>
      <c r="S26" s="445">
        <f t="shared" si="15"/>
        <v>5545.833333333333</v>
      </c>
      <c r="T26" s="445">
        <f t="shared" si="15"/>
        <v>5545.833333333333</v>
      </c>
      <c r="U26" s="445">
        <f t="shared" si="15"/>
        <v>5545.833333333333</v>
      </c>
      <c r="V26" s="445">
        <f t="shared" si="15"/>
        <v>5545.833333333333</v>
      </c>
      <c r="W26" s="445">
        <f t="shared" si="15"/>
        <v>5545.833333333333</v>
      </c>
      <c r="X26" s="445">
        <f t="shared" si="15"/>
        <v>5545.833333333333</v>
      </c>
      <c r="Y26" s="445">
        <f t="shared" si="15"/>
        <v>5545.833333333333</v>
      </c>
      <c r="Z26" s="445">
        <f t="shared" si="16"/>
        <v>5545.833333333333</v>
      </c>
      <c r="AA26" s="445">
        <f t="shared" si="16"/>
        <v>5545.833333333333</v>
      </c>
      <c r="AB26" s="445">
        <f t="shared" si="16"/>
        <v>6100.4166666666679</v>
      </c>
      <c r="AC26" s="445">
        <f t="shared" si="16"/>
        <v>6100.4166666666679</v>
      </c>
      <c r="AD26" s="445">
        <f t="shared" si="16"/>
        <v>6100.4166666666679</v>
      </c>
      <c r="AE26" s="445">
        <f t="shared" si="16"/>
        <v>6100.4166666666679</v>
      </c>
      <c r="AF26" s="445">
        <f t="shared" si="16"/>
        <v>6100.4166666666679</v>
      </c>
      <c r="AG26" s="445">
        <f t="shared" si="16"/>
        <v>6100.4166666666679</v>
      </c>
      <c r="AH26" s="445">
        <f t="shared" si="16"/>
        <v>6100.4166666666679</v>
      </c>
      <c r="AI26" s="445">
        <f t="shared" si="16"/>
        <v>6100.4166666666679</v>
      </c>
      <c r="AJ26" s="445">
        <f t="shared" si="17"/>
        <v>6100.4166666666679</v>
      </c>
      <c r="AK26" s="445">
        <f t="shared" si="17"/>
        <v>6100.4166666666679</v>
      </c>
      <c r="AL26" s="445">
        <f t="shared" si="17"/>
        <v>6100.4166666666679</v>
      </c>
      <c r="AM26" s="445">
        <f t="shared" si="17"/>
        <v>6100.4166666666679</v>
      </c>
      <c r="AN26" s="445">
        <f t="shared" si="17"/>
        <v>6710.4583333333358</v>
      </c>
      <c r="AO26" s="445">
        <f t="shared" si="17"/>
        <v>6710.4583333333358</v>
      </c>
      <c r="AP26" s="445">
        <f t="shared" si="17"/>
        <v>6710.4583333333358</v>
      </c>
      <c r="AQ26" s="445">
        <f t="shared" si="17"/>
        <v>6710.4583333333358</v>
      </c>
      <c r="AR26" s="445">
        <f t="shared" si="17"/>
        <v>6710.4583333333358</v>
      </c>
      <c r="AS26" s="445">
        <f t="shared" si="17"/>
        <v>6710.4583333333358</v>
      </c>
      <c r="AT26" s="445">
        <f t="shared" si="18"/>
        <v>6710.4583333333358</v>
      </c>
      <c r="AU26" s="445">
        <f t="shared" si="18"/>
        <v>6710.4583333333358</v>
      </c>
      <c r="AV26" s="445">
        <f t="shared" si="18"/>
        <v>6710.4583333333358</v>
      </c>
      <c r="AW26" s="445">
        <f t="shared" si="18"/>
        <v>6710.4583333333358</v>
      </c>
      <c r="AX26" s="445">
        <f t="shared" si="18"/>
        <v>6710.4583333333358</v>
      </c>
      <c r="AY26" s="445">
        <f t="shared" si="18"/>
        <v>6710.4583333333358</v>
      </c>
      <c r="AZ26" s="58"/>
      <c r="BA26" s="58"/>
      <c r="BB26" s="58"/>
      <c r="BC26" s="58"/>
      <c r="BD26" s="58"/>
      <c r="BE26" s="58"/>
      <c r="BF26" s="58"/>
    </row>
    <row r="27" spans="1:58" ht="15">
      <c r="A27" s="59"/>
      <c r="B27" s="105" t="s">
        <v>195</v>
      </c>
      <c r="C27" s="105" t="s">
        <v>380</v>
      </c>
      <c r="D27" s="441">
        <v>45000</v>
      </c>
      <c r="E27" s="441">
        <v>50000</v>
      </c>
      <c r="F27" s="150">
        <f t="shared" si="21"/>
        <v>0.11111111111111116</v>
      </c>
      <c r="G27" s="444">
        <v>0.1</v>
      </c>
      <c r="H27" s="442">
        <f t="shared" si="19"/>
        <v>5000</v>
      </c>
      <c r="I27" s="445">
        <f t="shared" si="20"/>
        <v>55000</v>
      </c>
      <c r="J27" s="446">
        <v>0.1</v>
      </c>
      <c r="K27" s="568">
        <v>1</v>
      </c>
      <c r="L27" s="568">
        <v>1</v>
      </c>
      <c r="M27" s="568">
        <v>1</v>
      </c>
      <c r="N27" s="568">
        <v>1</v>
      </c>
      <c r="O27" s="568">
        <v>1</v>
      </c>
      <c r="P27" s="445">
        <f t="shared" si="15"/>
        <v>5041.666666666667</v>
      </c>
      <c r="Q27" s="445">
        <f t="shared" si="15"/>
        <v>5041.666666666667</v>
      </c>
      <c r="R27" s="445">
        <f t="shared" si="15"/>
        <v>5041.666666666667</v>
      </c>
      <c r="S27" s="445">
        <f t="shared" si="15"/>
        <v>5041.666666666667</v>
      </c>
      <c r="T27" s="445">
        <f t="shared" si="15"/>
        <v>5041.666666666667</v>
      </c>
      <c r="U27" s="445">
        <f t="shared" si="15"/>
        <v>5041.666666666667</v>
      </c>
      <c r="V27" s="445">
        <f t="shared" si="15"/>
        <v>5041.666666666667</v>
      </c>
      <c r="W27" s="445">
        <f t="shared" si="15"/>
        <v>5041.666666666667</v>
      </c>
      <c r="X27" s="445">
        <f t="shared" si="15"/>
        <v>5041.666666666667</v>
      </c>
      <c r="Y27" s="445">
        <f t="shared" si="15"/>
        <v>5041.666666666667</v>
      </c>
      <c r="Z27" s="445">
        <f t="shared" si="16"/>
        <v>5041.666666666667</v>
      </c>
      <c r="AA27" s="445">
        <f t="shared" si="16"/>
        <v>5041.666666666667</v>
      </c>
      <c r="AB27" s="445">
        <f t="shared" si="16"/>
        <v>5545.8333333333348</v>
      </c>
      <c r="AC27" s="445">
        <f t="shared" si="16"/>
        <v>5545.8333333333348</v>
      </c>
      <c r="AD27" s="445">
        <f t="shared" si="16"/>
        <v>5545.8333333333348</v>
      </c>
      <c r="AE27" s="445">
        <f t="shared" si="16"/>
        <v>5545.8333333333348</v>
      </c>
      <c r="AF27" s="445">
        <f t="shared" si="16"/>
        <v>5545.8333333333348</v>
      </c>
      <c r="AG27" s="445">
        <f t="shared" si="16"/>
        <v>5545.8333333333348</v>
      </c>
      <c r="AH27" s="445">
        <f t="shared" si="16"/>
        <v>5545.8333333333348</v>
      </c>
      <c r="AI27" s="445">
        <f t="shared" si="16"/>
        <v>5545.8333333333348</v>
      </c>
      <c r="AJ27" s="445">
        <f t="shared" si="17"/>
        <v>5545.8333333333348</v>
      </c>
      <c r="AK27" s="445">
        <f t="shared" si="17"/>
        <v>5545.8333333333348</v>
      </c>
      <c r="AL27" s="445">
        <f t="shared" si="17"/>
        <v>5545.8333333333348</v>
      </c>
      <c r="AM27" s="445">
        <f t="shared" si="17"/>
        <v>5545.8333333333348</v>
      </c>
      <c r="AN27" s="445">
        <f t="shared" si="17"/>
        <v>6100.4166666666688</v>
      </c>
      <c r="AO27" s="445">
        <f t="shared" si="17"/>
        <v>6100.4166666666688</v>
      </c>
      <c r="AP27" s="445">
        <f t="shared" si="17"/>
        <v>6100.4166666666688</v>
      </c>
      <c r="AQ27" s="445">
        <f t="shared" si="17"/>
        <v>6100.4166666666688</v>
      </c>
      <c r="AR27" s="445">
        <f t="shared" si="17"/>
        <v>6100.4166666666688</v>
      </c>
      <c r="AS27" s="445">
        <f t="shared" si="17"/>
        <v>6100.4166666666688</v>
      </c>
      <c r="AT27" s="445">
        <f t="shared" si="18"/>
        <v>6100.4166666666688</v>
      </c>
      <c r="AU27" s="445">
        <f t="shared" si="18"/>
        <v>6100.4166666666688</v>
      </c>
      <c r="AV27" s="445">
        <f t="shared" si="18"/>
        <v>6100.4166666666688</v>
      </c>
      <c r="AW27" s="445">
        <f t="shared" si="18"/>
        <v>6100.4166666666688</v>
      </c>
      <c r="AX27" s="445">
        <f t="shared" si="18"/>
        <v>6100.4166666666688</v>
      </c>
      <c r="AY27" s="445">
        <f t="shared" si="18"/>
        <v>6100.4166666666688</v>
      </c>
      <c r="AZ27" s="58"/>
      <c r="BA27" s="58"/>
      <c r="BB27" s="58"/>
      <c r="BC27" s="58"/>
      <c r="BD27" s="58"/>
      <c r="BE27" s="58"/>
      <c r="BF27" s="58"/>
    </row>
    <row r="28" spans="1:58" ht="15">
      <c r="A28" s="59"/>
      <c r="B28" s="105" t="s">
        <v>597</v>
      </c>
      <c r="C28" s="105" t="s">
        <v>381</v>
      </c>
      <c r="D28" s="441">
        <v>80000</v>
      </c>
      <c r="E28" s="441">
        <v>85000</v>
      </c>
      <c r="F28" s="150">
        <f>+E28/D28-1</f>
        <v>6.25E-2</v>
      </c>
      <c r="G28" s="444">
        <v>0.2</v>
      </c>
      <c r="H28" s="442">
        <f t="shared" ref="H28" si="22">+E28*G28</f>
        <v>17000</v>
      </c>
      <c r="I28" s="445">
        <f>+E28+H28</f>
        <v>102000</v>
      </c>
      <c r="J28" s="446">
        <v>0.1</v>
      </c>
      <c r="K28" s="568">
        <v>1</v>
      </c>
      <c r="L28" s="568">
        <v>1</v>
      </c>
      <c r="M28" s="568">
        <v>1</v>
      </c>
      <c r="N28" s="568">
        <v>1</v>
      </c>
      <c r="O28" s="568">
        <v>1</v>
      </c>
      <c r="P28" s="445">
        <f t="shared" si="15"/>
        <v>9350.0000000000018</v>
      </c>
      <c r="Q28" s="445">
        <f t="shared" si="15"/>
        <v>9350.0000000000018</v>
      </c>
      <c r="R28" s="445">
        <f t="shared" si="15"/>
        <v>9350.0000000000018</v>
      </c>
      <c r="S28" s="445">
        <f t="shared" si="15"/>
        <v>9350.0000000000018</v>
      </c>
      <c r="T28" s="445">
        <f t="shared" si="15"/>
        <v>9350.0000000000018</v>
      </c>
      <c r="U28" s="445">
        <f t="shared" si="15"/>
        <v>9350.0000000000018</v>
      </c>
      <c r="V28" s="445">
        <f t="shared" si="15"/>
        <v>9350.0000000000018</v>
      </c>
      <c r="W28" s="445">
        <f t="shared" si="15"/>
        <v>9350.0000000000018</v>
      </c>
      <c r="X28" s="445">
        <f t="shared" si="15"/>
        <v>9350.0000000000018</v>
      </c>
      <c r="Y28" s="445">
        <f t="shared" si="15"/>
        <v>9350.0000000000018</v>
      </c>
      <c r="Z28" s="445">
        <f t="shared" si="16"/>
        <v>9350.0000000000018</v>
      </c>
      <c r="AA28" s="445">
        <f t="shared" si="16"/>
        <v>9350.0000000000018</v>
      </c>
      <c r="AB28" s="445">
        <f t="shared" si="16"/>
        <v>10285.000000000002</v>
      </c>
      <c r="AC28" s="445">
        <f t="shared" si="16"/>
        <v>10285.000000000002</v>
      </c>
      <c r="AD28" s="445">
        <f t="shared" si="16"/>
        <v>10285.000000000002</v>
      </c>
      <c r="AE28" s="445">
        <f t="shared" si="16"/>
        <v>10285.000000000002</v>
      </c>
      <c r="AF28" s="445">
        <f t="shared" si="16"/>
        <v>10285.000000000002</v>
      </c>
      <c r="AG28" s="445">
        <f t="shared" si="16"/>
        <v>10285.000000000002</v>
      </c>
      <c r="AH28" s="445">
        <f t="shared" si="16"/>
        <v>10285.000000000002</v>
      </c>
      <c r="AI28" s="445">
        <f t="shared" si="16"/>
        <v>10285.000000000002</v>
      </c>
      <c r="AJ28" s="445">
        <f t="shared" si="17"/>
        <v>10285.000000000002</v>
      </c>
      <c r="AK28" s="445">
        <f t="shared" si="17"/>
        <v>10285.000000000002</v>
      </c>
      <c r="AL28" s="445">
        <f t="shared" si="17"/>
        <v>10285.000000000002</v>
      </c>
      <c r="AM28" s="445">
        <f t="shared" si="17"/>
        <v>10285.000000000002</v>
      </c>
      <c r="AN28" s="445">
        <f t="shared" si="17"/>
        <v>11313.500000000002</v>
      </c>
      <c r="AO28" s="445">
        <f t="shared" si="17"/>
        <v>11313.500000000002</v>
      </c>
      <c r="AP28" s="445">
        <f t="shared" si="17"/>
        <v>11313.500000000002</v>
      </c>
      <c r="AQ28" s="445">
        <f t="shared" si="17"/>
        <v>11313.500000000002</v>
      </c>
      <c r="AR28" s="445">
        <f t="shared" si="17"/>
        <v>11313.500000000002</v>
      </c>
      <c r="AS28" s="445">
        <f t="shared" si="17"/>
        <v>11313.500000000002</v>
      </c>
      <c r="AT28" s="445">
        <f t="shared" si="18"/>
        <v>11313.500000000002</v>
      </c>
      <c r="AU28" s="445">
        <f t="shared" si="18"/>
        <v>11313.500000000002</v>
      </c>
      <c r="AV28" s="445">
        <f t="shared" si="18"/>
        <v>11313.500000000002</v>
      </c>
      <c r="AW28" s="445">
        <f t="shared" si="18"/>
        <v>11313.500000000002</v>
      </c>
      <c r="AX28" s="445">
        <f t="shared" si="18"/>
        <v>11313.500000000002</v>
      </c>
      <c r="AY28" s="445">
        <f t="shared" si="18"/>
        <v>11313.500000000002</v>
      </c>
      <c r="AZ28" s="58"/>
      <c r="BA28" s="58"/>
      <c r="BB28" s="58"/>
      <c r="BC28" s="58"/>
      <c r="BD28" s="58"/>
      <c r="BE28" s="58"/>
      <c r="BF28" s="58"/>
    </row>
    <row r="29" spans="1:58" ht="15">
      <c r="A29" s="59"/>
      <c r="B29" s="105" t="s">
        <v>384</v>
      </c>
      <c r="C29" s="105" t="s">
        <v>382</v>
      </c>
      <c r="D29" s="441">
        <v>80000</v>
      </c>
      <c r="E29" s="441">
        <v>85000</v>
      </c>
      <c r="F29" s="150"/>
      <c r="G29" s="444"/>
      <c r="H29" s="442">
        <f>+E29*G29</f>
        <v>0</v>
      </c>
      <c r="I29" s="445">
        <f>+E29+H29</f>
        <v>85000</v>
      </c>
      <c r="J29" s="446">
        <v>0.1</v>
      </c>
      <c r="K29" s="568">
        <v>1</v>
      </c>
      <c r="L29" s="568">
        <v>0.5</v>
      </c>
      <c r="M29" s="568">
        <v>1</v>
      </c>
      <c r="N29" s="568">
        <v>1</v>
      </c>
      <c r="O29" s="568">
        <v>1</v>
      </c>
      <c r="P29" s="445">
        <f t="shared" si="15"/>
        <v>7791.6666666666679</v>
      </c>
      <c r="Q29" s="445">
        <f t="shared" si="15"/>
        <v>7791.6666666666679</v>
      </c>
      <c r="R29" s="445">
        <f t="shared" si="15"/>
        <v>7791.6666666666679</v>
      </c>
      <c r="S29" s="445">
        <f t="shared" si="15"/>
        <v>7791.6666666666679</v>
      </c>
      <c r="T29" s="445">
        <f t="shared" si="15"/>
        <v>7791.6666666666679</v>
      </c>
      <c r="U29" s="445">
        <f t="shared" si="15"/>
        <v>7791.6666666666679</v>
      </c>
      <c r="V29" s="445">
        <f t="shared" si="15"/>
        <v>7791.6666666666679</v>
      </c>
      <c r="W29" s="445">
        <f t="shared" si="15"/>
        <v>7791.6666666666679</v>
      </c>
      <c r="X29" s="445">
        <f t="shared" si="15"/>
        <v>7791.6666666666679</v>
      </c>
      <c r="Y29" s="445">
        <f t="shared" si="15"/>
        <v>7791.6666666666679</v>
      </c>
      <c r="Z29" s="445">
        <f t="shared" si="16"/>
        <v>7791.6666666666679</v>
      </c>
      <c r="AA29" s="445">
        <f t="shared" si="16"/>
        <v>7791.6666666666679</v>
      </c>
      <c r="AB29" s="445">
        <f t="shared" si="16"/>
        <v>4285.416666666667</v>
      </c>
      <c r="AC29" s="445">
        <f t="shared" si="16"/>
        <v>4285.416666666667</v>
      </c>
      <c r="AD29" s="445">
        <f t="shared" si="16"/>
        <v>4285.416666666667</v>
      </c>
      <c r="AE29" s="445">
        <f t="shared" si="16"/>
        <v>4285.416666666667</v>
      </c>
      <c r="AF29" s="445">
        <f t="shared" si="16"/>
        <v>4285.416666666667</v>
      </c>
      <c r="AG29" s="445">
        <f t="shared" si="16"/>
        <v>4285.416666666667</v>
      </c>
      <c r="AH29" s="445">
        <f t="shared" si="16"/>
        <v>4285.416666666667</v>
      </c>
      <c r="AI29" s="445">
        <f t="shared" si="16"/>
        <v>4285.416666666667</v>
      </c>
      <c r="AJ29" s="445">
        <f t="shared" si="17"/>
        <v>4285.416666666667</v>
      </c>
      <c r="AK29" s="445">
        <f t="shared" si="17"/>
        <v>4285.416666666667</v>
      </c>
      <c r="AL29" s="445">
        <f t="shared" si="17"/>
        <v>4285.416666666667</v>
      </c>
      <c r="AM29" s="445">
        <f t="shared" si="17"/>
        <v>4285.416666666667</v>
      </c>
      <c r="AN29" s="445">
        <f t="shared" si="17"/>
        <v>9427.9166666666697</v>
      </c>
      <c r="AO29" s="445">
        <f t="shared" si="17"/>
        <v>9427.9166666666697</v>
      </c>
      <c r="AP29" s="445">
        <f t="shared" si="17"/>
        <v>9427.9166666666697</v>
      </c>
      <c r="AQ29" s="445">
        <f t="shared" si="17"/>
        <v>9427.9166666666697</v>
      </c>
      <c r="AR29" s="445">
        <f t="shared" si="17"/>
        <v>9427.9166666666697</v>
      </c>
      <c r="AS29" s="445">
        <f t="shared" si="17"/>
        <v>9427.9166666666697</v>
      </c>
      <c r="AT29" s="445">
        <f t="shared" si="18"/>
        <v>9427.9166666666697</v>
      </c>
      <c r="AU29" s="445">
        <f t="shared" si="18"/>
        <v>9427.9166666666697</v>
      </c>
      <c r="AV29" s="445">
        <f t="shared" si="18"/>
        <v>9427.9166666666697</v>
      </c>
      <c r="AW29" s="445">
        <f t="shared" si="18"/>
        <v>9427.9166666666697</v>
      </c>
      <c r="AX29" s="445">
        <f t="shared" si="18"/>
        <v>9427.9166666666697</v>
      </c>
      <c r="AY29" s="445">
        <f t="shared" si="18"/>
        <v>9427.9166666666697</v>
      </c>
      <c r="AZ29" s="58"/>
      <c r="BA29" s="58"/>
      <c r="BB29" s="58"/>
      <c r="BC29" s="58"/>
      <c r="BD29" s="58"/>
      <c r="BE29" s="58"/>
      <c r="BF29" s="58"/>
    </row>
    <row r="30" spans="1:58" ht="15">
      <c r="A30" s="59"/>
      <c r="B30" s="105" t="s">
        <v>384</v>
      </c>
      <c r="C30" s="105" t="s">
        <v>383</v>
      </c>
      <c r="D30" s="441">
        <v>80000</v>
      </c>
      <c r="E30" s="441">
        <v>85000</v>
      </c>
      <c r="F30" s="150"/>
      <c r="G30" s="444"/>
      <c r="H30" s="442">
        <f>+E30*G30</f>
        <v>0</v>
      </c>
      <c r="I30" s="445">
        <f t="shared" ref="I30:I33" si="23">+E30+H30</f>
        <v>85000</v>
      </c>
      <c r="J30" s="446">
        <v>0.1</v>
      </c>
      <c r="K30" s="568">
        <v>1</v>
      </c>
      <c r="L30" s="568">
        <v>0.5</v>
      </c>
      <c r="M30" s="568">
        <v>0.5</v>
      </c>
      <c r="N30" s="568">
        <v>1</v>
      </c>
      <c r="O30" s="568">
        <v>1</v>
      </c>
      <c r="P30" s="445">
        <f t="shared" si="15"/>
        <v>7791.6666666666679</v>
      </c>
      <c r="Q30" s="445">
        <f t="shared" si="15"/>
        <v>7791.6666666666679</v>
      </c>
      <c r="R30" s="445">
        <f t="shared" si="15"/>
        <v>7791.6666666666679</v>
      </c>
      <c r="S30" s="445">
        <f t="shared" si="15"/>
        <v>7791.6666666666679</v>
      </c>
      <c r="T30" s="445">
        <f t="shared" si="15"/>
        <v>7791.6666666666679</v>
      </c>
      <c r="U30" s="445">
        <f t="shared" si="15"/>
        <v>7791.6666666666679</v>
      </c>
      <c r="V30" s="445">
        <f t="shared" si="15"/>
        <v>7791.6666666666679</v>
      </c>
      <c r="W30" s="445">
        <f t="shared" si="15"/>
        <v>7791.6666666666679</v>
      </c>
      <c r="X30" s="445">
        <f t="shared" si="15"/>
        <v>7791.6666666666679</v>
      </c>
      <c r="Y30" s="445">
        <f t="shared" si="15"/>
        <v>7791.6666666666679</v>
      </c>
      <c r="Z30" s="445">
        <f t="shared" si="16"/>
        <v>7791.6666666666679</v>
      </c>
      <c r="AA30" s="445">
        <f t="shared" si="16"/>
        <v>7791.6666666666679</v>
      </c>
      <c r="AB30" s="445">
        <f t="shared" si="16"/>
        <v>4285.416666666667</v>
      </c>
      <c r="AC30" s="445">
        <f t="shared" si="16"/>
        <v>4285.416666666667</v>
      </c>
      <c r="AD30" s="445">
        <f t="shared" si="16"/>
        <v>4285.416666666667</v>
      </c>
      <c r="AE30" s="445">
        <f t="shared" si="16"/>
        <v>4285.416666666667</v>
      </c>
      <c r="AF30" s="445">
        <f t="shared" si="16"/>
        <v>4285.416666666667</v>
      </c>
      <c r="AG30" s="445">
        <f t="shared" si="16"/>
        <v>4285.416666666667</v>
      </c>
      <c r="AH30" s="445">
        <f t="shared" si="16"/>
        <v>4285.416666666667</v>
      </c>
      <c r="AI30" s="445">
        <f t="shared" si="16"/>
        <v>4285.416666666667</v>
      </c>
      <c r="AJ30" s="445">
        <f t="shared" si="17"/>
        <v>4285.416666666667</v>
      </c>
      <c r="AK30" s="445">
        <f t="shared" si="17"/>
        <v>4285.416666666667</v>
      </c>
      <c r="AL30" s="445">
        <f t="shared" si="17"/>
        <v>4285.416666666667</v>
      </c>
      <c r="AM30" s="445">
        <f t="shared" si="17"/>
        <v>4285.416666666667</v>
      </c>
      <c r="AN30" s="445">
        <f t="shared" si="17"/>
        <v>4713.9583333333348</v>
      </c>
      <c r="AO30" s="445">
        <f t="shared" si="17"/>
        <v>4713.9583333333348</v>
      </c>
      <c r="AP30" s="445">
        <f t="shared" si="17"/>
        <v>4713.9583333333348</v>
      </c>
      <c r="AQ30" s="445">
        <f t="shared" si="17"/>
        <v>4713.9583333333348</v>
      </c>
      <c r="AR30" s="445">
        <f t="shared" si="17"/>
        <v>4713.9583333333348</v>
      </c>
      <c r="AS30" s="445">
        <f t="shared" si="17"/>
        <v>4713.9583333333348</v>
      </c>
      <c r="AT30" s="445">
        <f t="shared" si="18"/>
        <v>4713.9583333333348</v>
      </c>
      <c r="AU30" s="445">
        <f t="shared" si="18"/>
        <v>4713.9583333333348</v>
      </c>
      <c r="AV30" s="445">
        <f t="shared" si="18"/>
        <v>4713.9583333333348</v>
      </c>
      <c r="AW30" s="445">
        <f t="shared" si="18"/>
        <v>4713.9583333333348</v>
      </c>
      <c r="AX30" s="445">
        <f t="shared" si="18"/>
        <v>4713.9583333333348</v>
      </c>
      <c r="AY30" s="445">
        <f t="shared" si="18"/>
        <v>4713.9583333333348</v>
      </c>
      <c r="AZ30" s="58"/>
      <c r="BA30" s="58"/>
      <c r="BB30" s="58"/>
      <c r="BC30" s="58"/>
      <c r="BD30" s="58"/>
      <c r="BE30" s="58"/>
      <c r="BF30" s="58"/>
    </row>
    <row r="31" spans="1:58" ht="15">
      <c r="A31" s="59"/>
      <c r="B31" s="105" t="s">
        <v>384</v>
      </c>
      <c r="C31" s="105" t="s">
        <v>391</v>
      </c>
      <c r="D31" s="441">
        <v>80000</v>
      </c>
      <c r="E31" s="441">
        <v>85000</v>
      </c>
      <c r="F31" s="150"/>
      <c r="G31" s="444"/>
      <c r="H31" s="442">
        <f t="shared" ref="H31:H33" si="24">+E31*G31</f>
        <v>0</v>
      </c>
      <c r="I31" s="445">
        <f t="shared" si="23"/>
        <v>85000</v>
      </c>
      <c r="J31" s="446">
        <v>0.1</v>
      </c>
      <c r="K31" s="568">
        <v>1</v>
      </c>
      <c r="L31" s="568">
        <v>0.5</v>
      </c>
      <c r="M31" s="568">
        <v>0.5</v>
      </c>
      <c r="N31" s="568">
        <v>1</v>
      </c>
      <c r="O31" s="568">
        <v>1</v>
      </c>
      <c r="P31" s="445">
        <f t="shared" si="15"/>
        <v>7791.6666666666679</v>
      </c>
      <c r="Q31" s="445">
        <f t="shared" si="15"/>
        <v>7791.6666666666679</v>
      </c>
      <c r="R31" s="445">
        <f t="shared" si="15"/>
        <v>7791.6666666666679</v>
      </c>
      <c r="S31" s="445">
        <f t="shared" si="15"/>
        <v>7791.6666666666679</v>
      </c>
      <c r="T31" s="445">
        <f t="shared" si="15"/>
        <v>7791.6666666666679</v>
      </c>
      <c r="U31" s="445">
        <f t="shared" si="15"/>
        <v>7791.6666666666679</v>
      </c>
      <c r="V31" s="445">
        <f t="shared" si="15"/>
        <v>7791.6666666666679</v>
      </c>
      <c r="W31" s="445">
        <f t="shared" si="15"/>
        <v>7791.6666666666679</v>
      </c>
      <c r="X31" s="445">
        <f t="shared" si="15"/>
        <v>7791.6666666666679</v>
      </c>
      <c r="Y31" s="445">
        <f t="shared" si="15"/>
        <v>7791.6666666666679</v>
      </c>
      <c r="Z31" s="445">
        <f t="shared" si="16"/>
        <v>7791.6666666666679</v>
      </c>
      <c r="AA31" s="445">
        <f t="shared" si="16"/>
        <v>7791.6666666666679</v>
      </c>
      <c r="AB31" s="445">
        <f t="shared" si="16"/>
        <v>4285.416666666667</v>
      </c>
      <c r="AC31" s="445">
        <f t="shared" si="16"/>
        <v>4285.416666666667</v>
      </c>
      <c r="AD31" s="445">
        <f t="shared" si="16"/>
        <v>4285.416666666667</v>
      </c>
      <c r="AE31" s="445">
        <f t="shared" si="16"/>
        <v>4285.416666666667</v>
      </c>
      <c r="AF31" s="445">
        <f t="shared" si="16"/>
        <v>4285.416666666667</v>
      </c>
      <c r="AG31" s="445">
        <f t="shared" si="16"/>
        <v>4285.416666666667</v>
      </c>
      <c r="AH31" s="445">
        <f t="shared" si="16"/>
        <v>4285.416666666667</v>
      </c>
      <c r="AI31" s="445">
        <f t="shared" si="16"/>
        <v>4285.416666666667</v>
      </c>
      <c r="AJ31" s="445">
        <f t="shared" si="17"/>
        <v>4285.416666666667</v>
      </c>
      <c r="AK31" s="445">
        <f t="shared" si="17"/>
        <v>4285.416666666667</v>
      </c>
      <c r="AL31" s="445">
        <f t="shared" si="17"/>
        <v>4285.416666666667</v>
      </c>
      <c r="AM31" s="445">
        <f t="shared" si="17"/>
        <v>4285.416666666667</v>
      </c>
      <c r="AN31" s="445">
        <f t="shared" si="17"/>
        <v>4713.9583333333348</v>
      </c>
      <c r="AO31" s="445">
        <f t="shared" si="17"/>
        <v>4713.9583333333348</v>
      </c>
      <c r="AP31" s="445">
        <f t="shared" si="17"/>
        <v>4713.9583333333348</v>
      </c>
      <c r="AQ31" s="445">
        <f t="shared" si="17"/>
        <v>4713.9583333333348</v>
      </c>
      <c r="AR31" s="445">
        <f t="shared" si="17"/>
        <v>4713.9583333333348</v>
      </c>
      <c r="AS31" s="445">
        <f t="shared" si="17"/>
        <v>4713.9583333333348</v>
      </c>
      <c r="AT31" s="445">
        <f t="shared" si="18"/>
        <v>4713.9583333333348</v>
      </c>
      <c r="AU31" s="445">
        <f t="shared" si="18"/>
        <v>4713.9583333333348</v>
      </c>
      <c r="AV31" s="445">
        <f t="shared" si="18"/>
        <v>4713.9583333333348</v>
      </c>
      <c r="AW31" s="445">
        <f t="shared" si="18"/>
        <v>4713.9583333333348</v>
      </c>
      <c r="AX31" s="445">
        <f t="shared" si="18"/>
        <v>4713.9583333333348</v>
      </c>
      <c r="AY31" s="445">
        <f t="shared" si="18"/>
        <v>4713.9583333333348</v>
      </c>
      <c r="AZ31" s="58"/>
      <c r="BA31" s="58"/>
      <c r="BB31" s="58"/>
      <c r="BC31" s="58"/>
      <c r="BD31" s="58"/>
      <c r="BE31" s="58"/>
      <c r="BF31" s="58"/>
    </row>
    <row r="32" spans="1:58" ht="15">
      <c r="A32" s="59"/>
      <c r="B32" s="105" t="s">
        <v>384</v>
      </c>
      <c r="C32" s="105" t="s">
        <v>392</v>
      </c>
      <c r="D32" s="441">
        <v>80000</v>
      </c>
      <c r="E32" s="441">
        <v>85000</v>
      </c>
      <c r="F32" s="150"/>
      <c r="G32" s="444"/>
      <c r="H32" s="442">
        <f t="shared" si="24"/>
        <v>0</v>
      </c>
      <c r="I32" s="445">
        <f t="shared" si="23"/>
        <v>85000</v>
      </c>
      <c r="J32" s="446">
        <v>0.1</v>
      </c>
      <c r="K32" s="568">
        <v>1</v>
      </c>
      <c r="L32" s="568">
        <v>0.5</v>
      </c>
      <c r="M32" s="568">
        <v>0.5</v>
      </c>
      <c r="N32" s="568">
        <v>0.7</v>
      </c>
      <c r="O32" s="568">
        <v>1</v>
      </c>
      <c r="P32" s="445">
        <f t="shared" si="15"/>
        <v>7791.6666666666679</v>
      </c>
      <c r="Q32" s="445">
        <f t="shared" si="15"/>
        <v>7791.6666666666679</v>
      </c>
      <c r="R32" s="445">
        <f t="shared" si="15"/>
        <v>7791.6666666666679</v>
      </c>
      <c r="S32" s="445">
        <f t="shared" si="15"/>
        <v>7791.6666666666679</v>
      </c>
      <c r="T32" s="445">
        <f t="shared" si="15"/>
        <v>7791.6666666666679</v>
      </c>
      <c r="U32" s="445">
        <f t="shared" si="15"/>
        <v>7791.6666666666679</v>
      </c>
      <c r="V32" s="445">
        <f t="shared" si="15"/>
        <v>7791.6666666666679</v>
      </c>
      <c r="W32" s="445">
        <f t="shared" si="15"/>
        <v>7791.6666666666679</v>
      </c>
      <c r="X32" s="445">
        <f t="shared" si="15"/>
        <v>7791.6666666666679</v>
      </c>
      <c r="Y32" s="445">
        <f t="shared" si="15"/>
        <v>7791.6666666666679</v>
      </c>
      <c r="Z32" s="445">
        <f t="shared" si="16"/>
        <v>7791.6666666666679</v>
      </c>
      <c r="AA32" s="445">
        <f t="shared" si="16"/>
        <v>7791.6666666666679</v>
      </c>
      <c r="AB32" s="445">
        <f t="shared" si="16"/>
        <v>4285.416666666667</v>
      </c>
      <c r="AC32" s="445">
        <f t="shared" si="16"/>
        <v>4285.416666666667</v>
      </c>
      <c r="AD32" s="445">
        <f t="shared" si="16"/>
        <v>4285.416666666667</v>
      </c>
      <c r="AE32" s="445">
        <f t="shared" si="16"/>
        <v>4285.416666666667</v>
      </c>
      <c r="AF32" s="445">
        <f t="shared" si="16"/>
        <v>4285.416666666667</v>
      </c>
      <c r="AG32" s="445">
        <f t="shared" si="16"/>
        <v>4285.416666666667</v>
      </c>
      <c r="AH32" s="445">
        <f t="shared" si="16"/>
        <v>4285.416666666667</v>
      </c>
      <c r="AI32" s="445">
        <f t="shared" si="16"/>
        <v>4285.416666666667</v>
      </c>
      <c r="AJ32" s="445">
        <f t="shared" si="17"/>
        <v>4285.416666666667</v>
      </c>
      <c r="AK32" s="445">
        <f t="shared" si="17"/>
        <v>4285.416666666667</v>
      </c>
      <c r="AL32" s="445">
        <f t="shared" si="17"/>
        <v>4285.416666666667</v>
      </c>
      <c r="AM32" s="445">
        <f t="shared" si="17"/>
        <v>4285.416666666667</v>
      </c>
      <c r="AN32" s="445">
        <f t="shared" si="17"/>
        <v>4713.9583333333348</v>
      </c>
      <c r="AO32" s="445">
        <f t="shared" si="17"/>
        <v>4713.9583333333348</v>
      </c>
      <c r="AP32" s="445">
        <f t="shared" si="17"/>
        <v>4713.9583333333348</v>
      </c>
      <c r="AQ32" s="445">
        <f t="shared" si="17"/>
        <v>4713.9583333333348</v>
      </c>
      <c r="AR32" s="445">
        <f t="shared" si="17"/>
        <v>4713.9583333333348</v>
      </c>
      <c r="AS32" s="445">
        <f t="shared" si="17"/>
        <v>4713.9583333333348</v>
      </c>
      <c r="AT32" s="445">
        <f t="shared" si="18"/>
        <v>4713.9583333333348</v>
      </c>
      <c r="AU32" s="445">
        <f t="shared" si="18"/>
        <v>4713.9583333333348</v>
      </c>
      <c r="AV32" s="445">
        <f t="shared" si="18"/>
        <v>4713.9583333333348</v>
      </c>
      <c r="AW32" s="445">
        <f t="shared" si="18"/>
        <v>4713.9583333333348</v>
      </c>
      <c r="AX32" s="445">
        <f t="shared" si="18"/>
        <v>4713.9583333333348</v>
      </c>
      <c r="AY32" s="445">
        <f t="shared" si="18"/>
        <v>4713.9583333333348</v>
      </c>
      <c r="AZ32" s="58"/>
      <c r="BA32" s="58"/>
      <c r="BB32" s="58"/>
      <c r="BC32" s="58"/>
      <c r="BD32" s="58"/>
      <c r="BE32" s="58"/>
      <c r="BF32" s="58"/>
    </row>
    <row r="33" spans="1:58" ht="15">
      <c r="A33" s="59"/>
      <c r="B33" s="105" t="s">
        <v>384</v>
      </c>
      <c r="C33" s="105" t="s">
        <v>393</v>
      </c>
      <c r="D33" s="441">
        <v>80000</v>
      </c>
      <c r="E33" s="441">
        <v>85000</v>
      </c>
      <c r="F33" s="150"/>
      <c r="G33" s="444"/>
      <c r="H33" s="442">
        <f t="shared" si="24"/>
        <v>0</v>
      </c>
      <c r="I33" s="445">
        <f t="shared" si="23"/>
        <v>85000</v>
      </c>
      <c r="J33" s="446">
        <v>0.1</v>
      </c>
      <c r="K33" s="568">
        <v>1</v>
      </c>
      <c r="L33" s="568">
        <v>0.5</v>
      </c>
      <c r="M33" s="568">
        <v>0.5</v>
      </c>
      <c r="N33" s="568">
        <v>0.7</v>
      </c>
      <c r="O33" s="568">
        <v>1</v>
      </c>
      <c r="P33" s="445">
        <f t="shared" si="15"/>
        <v>7791.6666666666679</v>
      </c>
      <c r="Q33" s="445">
        <f t="shared" si="15"/>
        <v>7791.6666666666679</v>
      </c>
      <c r="R33" s="445">
        <f t="shared" si="15"/>
        <v>7791.6666666666679</v>
      </c>
      <c r="S33" s="445">
        <f t="shared" si="15"/>
        <v>7791.6666666666679</v>
      </c>
      <c r="T33" s="445">
        <f t="shared" si="15"/>
        <v>7791.6666666666679</v>
      </c>
      <c r="U33" s="445">
        <f t="shared" si="15"/>
        <v>7791.6666666666679</v>
      </c>
      <c r="V33" s="445">
        <f t="shared" si="15"/>
        <v>7791.6666666666679</v>
      </c>
      <c r="W33" s="445">
        <f t="shared" si="15"/>
        <v>7791.6666666666679</v>
      </c>
      <c r="X33" s="445">
        <f t="shared" si="15"/>
        <v>7791.6666666666679</v>
      </c>
      <c r="Y33" s="445">
        <f t="shared" si="15"/>
        <v>7791.6666666666679</v>
      </c>
      <c r="Z33" s="445">
        <f t="shared" si="16"/>
        <v>7791.6666666666679</v>
      </c>
      <c r="AA33" s="445">
        <f t="shared" si="16"/>
        <v>7791.6666666666679</v>
      </c>
      <c r="AB33" s="445">
        <f t="shared" si="16"/>
        <v>4285.416666666667</v>
      </c>
      <c r="AC33" s="445">
        <f t="shared" si="16"/>
        <v>4285.416666666667</v>
      </c>
      <c r="AD33" s="445">
        <f t="shared" si="16"/>
        <v>4285.416666666667</v>
      </c>
      <c r="AE33" s="445">
        <f t="shared" si="16"/>
        <v>4285.416666666667</v>
      </c>
      <c r="AF33" s="445">
        <f t="shared" si="16"/>
        <v>4285.416666666667</v>
      </c>
      <c r="AG33" s="445">
        <f t="shared" si="16"/>
        <v>4285.416666666667</v>
      </c>
      <c r="AH33" s="445">
        <f t="shared" si="16"/>
        <v>4285.416666666667</v>
      </c>
      <c r="AI33" s="445">
        <f t="shared" si="16"/>
        <v>4285.416666666667</v>
      </c>
      <c r="AJ33" s="445">
        <f t="shared" si="17"/>
        <v>4285.416666666667</v>
      </c>
      <c r="AK33" s="445">
        <f t="shared" si="17"/>
        <v>4285.416666666667</v>
      </c>
      <c r="AL33" s="445">
        <f t="shared" si="17"/>
        <v>4285.416666666667</v>
      </c>
      <c r="AM33" s="445">
        <f t="shared" si="17"/>
        <v>4285.416666666667</v>
      </c>
      <c r="AN33" s="445">
        <f t="shared" si="17"/>
        <v>4713.9583333333348</v>
      </c>
      <c r="AO33" s="445">
        <f t="shared" si="17"/>
        <v>4713.9583333333348</v>
      </c>
      <c r="AP33" s="445">
        <f t="shared" si="17"/>
        <v>4713.9583333333348</v>
      </c>
      <c r="AQ33" s="445">
        <f t="shared" si="17"/>
        <v>4713.9583333333348</v>
      </c>
      <c r="AR33" s="445">
        <f t="shared" si="17"/>
        <v>4713.9583333333348</v>
      </c>
      <c r="AS33" s="445">
        <f t="shared" si="17"/>
        <v>4713.9583333333348</v>
      </c>
      <c r="AT33" s="445">
        <f t="shared" si="18"/>
        <v>4713.9583333333348</v>
      </c>
      <c r="AU33" s="445">
        <f t="shared" si="18"/>
        <v>4713.9583333333348</v>
      </c>
      <c r="AV33" s="445">
        <f t="shared" si="18"/>
        <v>4713.9583333333348</v>
      </c>
      <c r="AW33" s="445">
        <f t="shared" si="18"/>
        <v>4713.9583333333348</v>
      </c>
      <c r="AX33" s="445">
        <f t="shared" si="18"/>
        <v>4713.9583333333348</v>
      </c>
      <c r="AY33" s="445">
        <f t="shared" si="18"/>
        <v>4713.9583333333348</v>
      </c>
      <c r="AZ33" s="58"/>
      <c r="BA33" s="58"/>
      <c r="BB33" s="58"/>
      <c r="BC33" s="58"/>
      <c r="BD33" s="58"/>
      <c r="BE33" s="58"/>
      <c r="BF33" s="58"/>
    </row>
    <row r="34" spans="1:58" ht="15">
      <c r="A34" s="59"/>
      <c r="B34" s="58"/>
      <c r="C34" s="58"/>
      <c r="D34" s="443">
        <f>SUM(D23:D33)</f>
        <v>790000</v>
      </c>
      <c r="E34" s="443">
        <f>SUM(E23:E33)</f>
        <v>843000</v>
      </c>
      <c r="F34" s="154">
        <f>+E34/D34-1</f>
        <v>6.7088607594936622E-2</v>
      </c>
      <c r="G34" s="448"/>
      <c r="H34" s="443">
        <f>SUM(H23:H33)</f>
        <v>72800</v>
      </c>
      <c r="I34" s="443">
        <f>SUM(I23:I33)</f>
        <v>915800</v>
      </c>
      <c r="J34" s="448"/>
      <c r="K34" s="448"/>
      <c r="L34" s="448"/>
      <c r="M34" s="448"/>
      <c r="N34" s="452"/>
      <c r="O34" s="452"/>
      <c r="P34" s="443">
        <f t="shared" ref="P34:AA34" si="25">SUM(P23:P33)</f>
        <v>83805.333333333358</v>
      </c>
      <c r="Q34" s="443">
        <f t="shared" si="25"/>
        <v>83805.333333333358</v>
      </c>
      <c r="R34" s="443">
        <f t="shared" si="25"/>
        <v>83805.333333333358</v>
      </c>
      <c r="S34" s="443">
        <f t="shared" si="25"/>
        <v>83805.333333333358</v>
      </c>
      <c r="T34" s="443">
        <f t="shared" si="25"/>
        <v>83805.333333333358</v>
      </c>
      <c r="U34" s="443">
        <f t="shared" si="25"/>
        <v>83805.333333333358</v>
      </c>
      <c r="V34" s="443">
        <f t="shared" si="25"/>
        <v>83805.333333333358</v>
      </c>
      <c r="W34" s="443">
        <f t="shared" si="25"/>
        <v>83805.333333333358</v>
      </c>
      <c r="X34" s="443">
        <f t="shared" si="25"/>
        <v>83805.333333333358</v>
      </c>
      <c r="Y34" s="443">
        <f t="shared" si="25"/>
        <v>83805.333333333358</v>
      </c>
      <c r="Z34" s="443">
        <f t="shared" si="25"/>
        <v>83805.333333333358</v>
      </c>
      <c r="AA34" s="443">
        <f t="shared" si="25"/>
        <v>83805.333333333358</v>
      </c>
      <c r="AB34" s="443">
        <f t="shared" ref="AB34:AH34" si="26">SUM(AB23:AB33)</f>
        <v>70605.773333333345</v>
      </c>
      <c r="AC34" s="443">
        <f t="shared" si="26"/>
        <v>70605.773333333345</v>
      </c>
      <c r="AD34" s="443">
        <f t="shared" si="26"/>
        <v>70605.773333333345</v>
      </c>
      <c r="AE34" s="443">
        <f t="shared" si="26"/>
        <v>70605.773333333345</v>
      </c>
      <c r="AF34" s="443">
        <f t="shared" si="26"/>
        <v>70605.773333333345</v>
      </c>
      <c r="AG34" s="443">
        <f t="shared" si="26"/>
        <v>70605.773333333345</v>
      </c>
      <c r="AH34" s="443">
        <f t="shared" si="26"/>
        <v>70605.773333333345</v>
      </c>
      <c r="AI34" s="443">
        <f t="shared" ref="AI34:AY34" si="27">SUM(AI23:AI33)</f>
        <v>70605.773333333345</v>
      </c>
      <c r="AJ34" s="443">
        <f t="shared" si="27"/>
        <v>70605.773333333345</v>
      </c>
      <c r="AK34" s="443">
        <f t="shared" si="27"/>
        <v>70605.773333333345</v>
      </c>
      <c r="AL34" s="443">
        <f t="shared" si="27"/>
        <v>70605.773333333345</v>
      </c>
      <c r="AM34" s="443">
        <f t="shared" si="27"/>
        <v>70605.773333333345</v>
      </c>
      <c r="AN34" s="443">
        <f t="shared" si="27"/>
        <v>82216.588300000003</v>
      </c>
      <c r="AO34" s="443">
        <f t="shared" si="27"/>
        <v>82216.588300000003</v>
      </c>
      <c r="AP34" s="443">
        <f t="shared" si="27"/>
        <v>82216.588300000003</v>
      </c>
      <c r="AQ34" s="443">
        <f t="shared" si="27"/>
        <v>82216.588300000003</v>
      </c>
      <c r="AR34" s="443">
        <f t="shared" si="27"/>
        <v>82216.588300000003</v>
      </c>
      <c r="AS34" s="443">
        <f t="shared" si="27"/>
        <v>82216.588300000003</v>
      </c>
      <c r="AT34" s="443">
        <f t="shared" si="27"/>
        <v>82216.588300000003</v>
      </c>
      <c r="AU34" s="443">
        <f t="shared" si="27"/>
        <v>82216.588300000003</v>
      </c>
      <c r="AV34" s="443">
        <f t="shared" si="27"/>
        <v>82216.588300000003</v>
      </c>
      <c r="AW34" s="443">
        <f t="shared" si="27"/>
        <v>82216.588300000003</v>
      </c>
      <c r="AX34" s="443">
        <f t="shared" si="27"/>
        <v>82216.588300000003</v>
      </c>
      <c r="AY34" s="443">
        <f t="shared" si="27"/>
        <v>82216.588300000003</v>
      </c>
      <c r="AZ34" s="58"/>
      <c r="BA34" s="58"/>
      <c r="BB34" s="58"/>
      <c r="BC34" s="58"/>
      <c r="BD34" s="58"/>
      <c r="BE34" s="58"/>
      <c r="BF34" s="58"/>
    </row>
    <row r="35" spans="1:58" ht="15">
      <c r="A35" s="59"/>
      <c r="B35" s="58"/>
      <c r="C35" s="138"/>
      <c r="D35" s="145"/>
      <c r="E35" s="145"/>
      <c r="F35" s="155"/>
      <c r="G35" s="156"/>
      <c r="H35" s="145"/>
      <c r="I35" s="145"/>
      <c r="J35" s="156"/>
      <c r="K35" s="156"/>
      <c r="L35" s="156"/>
      <c r="M35" s="156"/>
      <c r="N35" s="156"/>
      <c r="O35" s="156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58"/>
      <c r="BA35" s="58"/>
      <c r="BB35" s="58"/>
      <c r="BC35" s="58"/>
      <c r="BD35" s="58"/>
      <c r="BE35" s="58"/>
      <c r="BF35" s="58"/>
    </row>
    <row r="36" spans="1:58" ht="15">
      <c r="A36" s="59"/>
      <c r="B36" s="301" t="s">
        <v>201</v>
      </c>
      <c r="C36" s="301"/>
      <c r="D36" s="320">
        <f>+D21+D34</f>
        <v>840000</v>
      </c>
      <c r="E36" s="320">
        <f>+E21+E34</f>
        <v>895500</v>
      </c>
      <c r="F36" s="321">
        <f>+E36/D36-1</f>
        <v>6.6071428571428559E-2</v>
      </c>
      <c r="G36" s="301"/>
      <c r="H36" s="320">
        <f>+H34+H21</f>
        <v>79140</v>
      </c>
      <c r="I36" s="320">
        <f>+I34+I21</f>
        <v>974640</v>
      </c>
      <c r="J36" s="322"/>
      <c r="K36" s="301"/>
      <c r="L36" s="301"/>
      <c r="M36" s="301"/>
      <c r="N36" s="301"/>
      <c r="O36" s="301"/>
      <c r="P36" s="320">
        <f t="shared" ref="P36:AA36" si="28">+P21+P34</f>
        <v>88054.13333333336</v>
      </c>
      <c r="Q36" s="320">
        <f t="shared" si="28"/>
        <v>88054.13333333336</v>
      </c>
      <c r="R36" s="320">
        <f t="shared" si="28"/>
        <v>88054.13333333336</v>
      </c>
      <c r="S36" s="320">
        <f t="shared" si="28"/>
        <v>88054.13333333336</v>
      </c>
      <c r="T36" s="320">
        <f t="shared" si="28"/>
        <v>88054.13333333336</v>
      </c>
      <c r="U36" s="320">
        <f t="shared" si="28"/>
        <v>88054.13333333336</v>
      </c>
      <c r="V36" s="320">
        <f t="shared" si="28"/>
        <v>88054.13333333336</v>
      </c>
      <c r="W36" s="320">
        <f t="shared" si="28"/>
        <v>88054.13333333336</v>
      </c>
      <c r="X36" s="320">
        <f t="shared" si="28"/>
        <v>88054.13333333336</v>
      </c>
      <c r="Y36" s="320">
        <f t="shared" si="28"/>
        <v>88054.13333333336</v>
      </c>
      <c r="Z36" s="320">
        <f t="shared" si="28"/>
        <v>88054.13333333336</v>
      </c>
      <c r="AA36" s="320">
        <f t="shared" si="28"/>
        <v>88054.13333333336</v>
      </c>
      <c r="AB36" s="320">
        <f t="shared" ref="AB36:AH36" si="29">+AB21+AB34</f>
        <v>75894.523416666678</v>
      </c>
      <c r="AC36" s="320">
        <f t="shared" si="29"/>
        <v>75894.523416666678</v>
      </c>
      <c r="AD36" s="320">
        <f t="shared" si="29"/>
        <v>75894.523416666678</v>
      </c>
      <c r="AE36" s="320">
        <f t="shared" si="29"/>
        <v>75894.523416666678</v>
      </c>
      <c r="AF36" s="320">
        <f t="shared" si="29"/>
        <v>75894.523416666678</v>
      </c>
      <c r="AG36" s="320">
        <f t="shared" si="29"/>
        <v>75894.523416666678</v>
      </c>
      <c r="AH36" s="320">
        <f t="shared" si="29"/>
        <v>75894.523416666678</v>
      </c>
      <c r="AI36" s="320">
        <f t="shared" ref="AI36:AY36" si="30">+AI21+AI34</f>
        <v>75894.523416666678</v>
      </c>
      <c r="AJ36" s="320">
        <f t="shared" si="30"/>
        <v>75894.523416666678</v>
      </c>
      <c r="AK36" s="320">
        <f t="shared" si="30"/>
        <v>75894.523416666678</v>
      </c>
      <c r="AL36" s="320">
        <f t="shared" si="30"/>
        <v>75894.523416666678</v>
      </c>
      <c r="AM36" s="320">
        <f t="shared" si="30"/>
        <v>75894.523416666678</v>
      </c>
      <c r="AN36" s="320">
        <f t="shared" si="30"/>
        <v>87434.784020000006</v>
      </c>
      <c r="AO36" s="320">
        <f t="shared" si="30"/>
        <v>87434.784020000006</v>
      </c>
      <c r="AP36" s="320">
        <f t="shared" si="30"/>
        <v>87434.784020000006</v>
      </c>
      <c r="AQ36" s="320">
        <f t="shared" si="30"/>
        <v>87434.784020000006</v>
      </c>
      <c r="AR36" s="320">
        <f t="shared" si="30"/>
        <v>87434.784020000006</v>
      </c>
      <c r="AS36" s="320">
        <f t="shared" si="30"/>
        <v>87434.784020000006</v>
      </c>
      <c r="AT36" s="320">
        <f t="shared" si="30"/>
        <v>87434.784020000006</v>
      </c>
      <c r="AU36" s="320">
        <f t="shared" si="30"/>
        <v>87434.784020000006</v>
      </c>
      <c r="AV36" s="320">
        <f t="shared" si="30"/>
        <v>87434.784020000006</v>
      </c>
      <c r="AW36" s="320">
        <f t="shared" si="30"/>
        <v>87434.784020000006</v>
      </c>
      <c r="AX36" s="320">
        <f t="shared" si="30"/>
        <v>87434.784020000006</v>
      </c>
      <c r="AY36" s="320">
        <f t="shared" si="30"/>
        <v>87434.784020000006</v>
      </c>
      <c r="AZ36" s="58"/>
      <c r="BA36" s="58"/>
      <c r="BB36" s="58"/>
      <c r="BC36" s="58"/>
      <c r="BD36" s="58"/>
      <c r="BE36" s="58"/>
      <c r="BF36" s="58"/>
    </row>
    <row r="37" spans="1:58" ht="15">
      <c r="A37" s="59"/>
      <c r="B37" s="62"/>
      <c r="C37" s="62"/>
      <c r="D37" s="62"/>
      <c r="E37" s="62"/>
      <c r="F37" s="150"/>
      <c r="G37" s="62"/>
      <c r="H37" s="62"/>
      <c r="I37" s="118"/>
      <c r="J37" s="158"/>
      <c r="K37" s="62"/>
      <c r="L37" s="62"/>
      <c r="M37" s="62"/>
      <c r="N37" s="62"/>
      <c r="O37" s="62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58"/>
      <c r="BA37" s="58"/>
      <c r="BB37" s="58"/>
      <c r="BC37" s="58"/>
      <c r="BD37" s="58"/>
      <c r="BE37" s="58"/>
      <c r="BF37" s="58"/>
    </row>
    <row r="38" spans="1:58" ht="15">
      <c r="A38" s="59"/>
      <c r="B38" s="62"/>
      <c r="C38" s="62"/>
      <c r="D38" s="62"/>
      <c r="E38" s="62"/>
      <c r="F38" s="150"/>
      <c r="G38" s="62"/>
      <c r="H38" s="62"/>
      <c r="I38" s="108"/>
      <c r="J38" s="61"/>
      <c r="K38" s="62"/>
      <c r="L38" s="62"/>
      <c r="M38" s="62"/>
      <c r="N38" s="62"/>
      <c r="O38" s="62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58"/>
      <c r="BA38" s="58"/>
      <c r="BB38" s="58"/>
      <c r="BC38" s="58"/>
      <c r="BD38" s="58"/>
      <c r="BE38" s="58"/>
      <c r="BF38" s="58"/>
    </row>
    <row r="39" spans="1:58" ht="15">
      <c r="A39" s="59"/>
      <c r="B39" s="58" t="s">
        <v>607</v>
      </c>
      <c r="C39" s="58"/>
      <c r="D39" s="58"/>
      <c r="E39" s="58"/>
      <c r="F39" s="159"/>
      <c r="G39" s="58"/>
      <c r="H39" s="58"/>
      <c r="I39" s="58"/>
      <c r="J39" s="59"/>
      <c r="K39" s="58"/>
      <c r="L39" s="58"/>
      <c r="M39" s="58"/>
      <c r="N39" s="58"/>
      <c r="O39" s="58"/>
      <c r="P39" s="58">
        <f>COUNTIF(P10:P20,"&gt;0")</f>
        <v>10</v>
      </c>
      <c r="Q39" s="58">
        <f t="shared" ref="Q39:AA39" si="31">COUNTIF(Q10:Q20,"&gt;0")</f>
        <v>10</v>
      </c>
      <c r="R39" s="58">
        <f t="shared" si="31"/>
        <v>10</v>
      </c>
      <c r="S39" s="58">
        <f t="shared" si="31"/>
        <v>10</v>
      </c>
      <c r="T39" s="58">
        <f t="shared" si="31"/>
        <v>10</v>
      </c>
      <c r="U39" s="58">
        <f t="shared" si="31"/>
        <v>10</v>
      </c>
      <c r="V39" s="58">
        <f t="shared" si="31"/>
        <v>10</v>
      </c>
      <c r="W39" s="58">
        <f t="shared" si="31"/>
        <v>10</v>
      </c>
      <c r="X39" s="58">
        <f t="shared" si="31"/>
        <v>10</v>
      </c>
      <c r="Y39" s="58">
        <f t="shared" si="31"/>
        <v>10</v>
      </c>
      <c r="Z39" s="58">
        <f t="shared" si="31"/>
        <v>10</v>
      </c>
      <c r="AA39" s="58">
        <f t="shared" si="31"/>
        <v>10</v>
      </c>
      <c r="AB39" s="58">
        <f t="shared" ref="AB39:AH39" si="32">COUNTIF(AB10:AB20,"&gt;0")</f>
        <v>11</v>
      </c>
      <c r="AC39" s="58">
        <f t="shared" si="32"/>
        <v>11</v>
      </c>
      <c r="AD39" s="58">
        <f t="shared" si="32"/>
        <v>11</v>
      </c>
      <c r="AE39" s="58">
        <f t="shared" si="32"/>
        <v>11</v>
      </c>
      <c r="AF39" s="58">
        <f t="shared" si="32"/>
        <v>11</v>
      </c>
      <c r="AG39" s="58">
        <f t="shared" si="32"/>
        <v>11</v>
      </c>
      <c r="AH39" s="58">
        <f t="shared" si="32"/>
        <v>11</v>
      </c>
      <c r="AI39" s="58">
        <f t="shared" ref="AI39:AY39" si="33">COUNTIF(AI10:AI20,"&gt;0")</f>
        <v>11</v>
      </c>
      <c r="AJ39" s="58">
        <f t="shared" si="33"/>
        <v>11</v>
      </c>
      <c r="AK39" s="58">
        <f t="shared" si="33"/>
        <v>11</v>
      </c>
      <c r="AL39" s="58">
        <f t="shared" si="33"/>
        <v>11</v>
      </c>
      <c r="AM39" s="58">
        <f t="shared" si="33"/>
        <v>11</v>
      </c>
      <c r="AN39" s="58">
        <f t="shared" si="33"/>
        <v>11</v>
      </c>
      <c r="AO39" s="58">
        <f t="shared" si="33"/>
        <v>11</v>
      </c>
      <c r="AP39" s="58">
        <f t="shared" si="33"/>
        <v>11</v>
      </c>
      <c r="AQ39" s="58">
        <f t="shared" si="33"/>
        <v>11</v>
      </c>
      <c r="AR39" s="58">
        <f t="shared" si="33"/>
        <v>11</v>
      </c>
      <c r="AS39" s="58">
        <f t="shared" si="33"/>
        <v>11</v>
      </c>
      <c r="AT39" s="58">
        <f t="shared" si="33"/>
        <v>11</v>
      </c>
      <c r="AU39" s="58">
        <f t="shared" si="33"/>
        <v>11</v>
      </c>
      <c r="AV39" s="58">
        <f t="shared" si="33"/>
        <v>11</v>
      </c>
      <c r="AW39" s="58">
        <f t="shared" si="33"/>
        <v>11</v>
      </c>
      <c r="AX39" s="58">
        <f t="shared" si="33"/>
        <v>11</v>
      </c>
      <c r="AY39" s="58">
        <f t="shared" si="33"/>
        <v>11</v>
      </c>
      <c r="AZ39" s="58"/>
      <c r="BA39" s="58"/>
      <c r="BB39" s="58"/>
      <c r="BC39" s="58"/>
      <c r="BD39" s="58"/>
      <c r="BE39" s="58"/>
      <c r="BF39" s="58"/>
    </row>
    <row r="40" spans="1:58" ht="15">
      <c r="A40" s="59"/>
      <c r="B40" s="58" t="s">
        <v>608</v>
      </c>
      <c r="C40" s="58"/>
      <c r="D40" s="58"/>
      <c r="E40" s="58"/>
      <c r="F40" s="159"/>
      <c r="G40" s="58"/>
      <c r="H40" s="58"/>
      <c r="I40" s="58"/>
      <c r="J40" s="59"/>
      <c r="K40" s="58"/>
      <c r="L40" s="58"/>
      <c r="M40" s="58"/>
      <c r="N40" s="58"/>
      <c r="O40" s="58"/>
      <c r="P40" s="58">
        <f>COUNTIF(P23:P33,"&gt;0")</f>
        <v>11</v>
      </c>
      <c r="Q40" s="58">
        <f t="shared" ref="Q40:AA40" si="34">COUNTIF(Q23:Q33,"&gt;0")</f>
        <v>11</v>
      </c>
      <c r="R40" s="58">
        <f t="shared" si="34"/>
        <v>11</v>
      </c>
      <c r="S40" s="58">
        <f t="shared" si="34"/>
        <v>11</v>
      </c>
      <c r="T40" s="58">
        <f t="shared" si="34"/>
        <v>11</v>
      </c>
      <c r="U40" s="58">
        <f t="shared" si="34"/>
        <v>11</v>
      </c>
      <c r="V40" s="58">
        <f t="shared" si="34"/>
        <v>11</v>
      </c>
      <c r="W40" s="58">
        <f t="shared" si="34"/>
        <v>11</v>
      </c>
      <c r="X40" s="58">
        <f t="shared" si="34"/>
        <v>11</v>
      </c>
      <c r="Y40" s="58">
        <f t="shared" si="34"/>
        <v>11</v>
      </c>
      <c r="Z40" s="58">
        <f t="shared" si="34"/>
        <v>11</v>
      </c>
      <c r="AA40" s="58">
        <f t="shared" si="34"/>
        <v>11</v>
      </c>
      <c r="AB40" s="58">
        <f t="shared" ref="AB40:AH40" si="35">COUNTIF(AB23:AB33,"&gt;0")</f>
        <v>11</v>
      </c>
      <c r="AC40" s="58">
        <f t="shared" si="35"/>
        <v>11</v>
      </c>
      <c r="AD40" s="58">
        <f t="shared" si="35"/>
        <v>11</v>
      </c>
      <c r="AE40" s="58">
        <f t="shared" si="35"/>
        <v>11</v>
      </c>
      <c r="AF40" s="58">
        <f t="shared" si="35"/>
        <v>11</v>
      </c>
      <c r="AG40" s="58">
        <f t="shared" si="35"/>
        <v>11</v>
      </c>
      <c r="AH40" s="58">
        <f t="shared" si="35"/>
        <v>11</v>
      </c>
      <c r="AI40" s="58">
        <f t="shared" ref="AI40:AY40" si="36">COUNTIF(AI23:AI33,"&gt;0")</f>
        <v>11</v>
      </c>
      <c r="AJ40" s="58">
        <f t="shared" si="36"/>
        <v>11</v>
      </c>
      <c r="AK40" s="58">
        <f t="shared" si="36"/>
        <v>11</v>
      </c>
      <c r="AL40" s="58">
        <f t="shared" si="36"/>
        <v>11</v>
      </c>
      <c r="AM40" s="58">
        <f t="shared" si="36"/>
        <v>11</v>
      </c>
      <c r="AN40" s="58">
        <f t="shared" si="36"/>
        <v>11</v>
      </c>
      <c r="AO40" s="58">
        <f t="shared" si="36"/>
        <v>11</v>
      </c>
      <c r="AP40" s="58">
        <f t="shared" si="36"/>
        <v>11</v>
      </c>
      <c r="AQ40" s="58">
        <f t="shared" si="36"/>
        <v>11</v>
      </c>
      <c r="AR40" s="58">
        <f t="shared" si="36"/>
        <v>11</v>
      </c>
      <c r="AS40" s="58">
        <f t="shared" si="36"/>
        <v>11</v>
      </c>
      <c r="AT40" s="58">
        <f t="shared" si="36"/>
        <v>11</v>
      </c>
      <c r="AU40" s="58">
        <f t="shared" si="36"/>
        <v>11</v>
      </c>
      <c r="AV40" s="58">
        <f t="shared" si="36"/>
        <v>11</v>
      </c>
      <c r="AW40" s="58">
        <f t="shared" si="36"/>
        <v>11</v>
      </c>
      <c r="AX40" s="58">
        <f t="shared" si="36"/>
        <v>11</v>
      </c>
      <c r="AY40" s="58">
        <f t="shared" si="36"/>
        <v>11</v>
      </c>
      <c r="AZ40" s="58"/>
      <c r="BA40" s="58"/>
      <c r="BB40" s="58"/>
      <c r="BC40" s="58"/>
      <c r="BD40" s="58"/>
      <c r="BE40" s="58"/>
      <c r="BF40" s="58"/>
    </row>
    <row r="41" spans="1:58" ht="15">
      <c r="A41" s="59"/>
      <c r="B41" s="109" t="s">
        <v>517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>
        <f>SUM(P39:P40)</f>
        <v>21</v>
      </c>
      <c r="Q41" s="109">
        <f>SUM(Q39:Q40)</f>
        <v>21</v>
      </c>
      <c r="R41" s="109">
        <f t="shared" ref="R41:AA41" si="37">SUM(R39:R40)</f>
        <v>21</v>
      </c>
      <c r="S41" s="109">
        <f t="shared" si="37"/>
        <v>21</v>
      </c>
      <c r="T41" s="109">
        <f t="shared" si="37"/>
        <v>21</v>
      </c>
      <c r="U41" s="109">
        <f t="shared" si="37"/>
        <v>21</v>
      </c>
      <c r="V41" s="109">
        <f t="shared" si="37"/>
        <v>21</v>
      </c>
      <c r="W41" s="109">
        <f t="shared" si="37"/>
        <v>21</v>
      </c>
      <c r="X41" s="109">
        <f t="shared" si="37"/>
        <v>21</v>
      </c>
      <c r="Y41" s="109">
        <f t="shared" si="37"/>
        <v>21</v>
      </c>
      <c r="Z41" s="109">
        <f t="shared" si="37"/>
        <v>21</v>
      </c>
      <c r="AA41" s="109">
        <f t="shared" si="37"/>
        <v>21</v>
      </c>
      <c r="AB41" s="109">
        <f t="shared" ref="AB41:AH41" si="38">SUM(AB39:AB40)</f>
        <v>22</v>
      </c>
      <c r="AC41" s="109">
        <f t="shared" si="38"/>
        <v>22</v>
      </c>
      <c r="AD41" s="109">
        <f t="shared" si="38"/>
        <v>22</v>
      </c>
      <c r="AE41" s="109">
        <f t="shared" si="38"/>
        <v>22</v>
      </c>
      <c r="AF41" s="109">
        <f t="shared" si="38"/>
        <v>22</v>
      </c>
      <c r="AG41" s="109">
        <f t="shared" si="38"/>
        <v>22</v>
      </c>
      <c r="AH41" s="109">
        <f t="shared" si="38"/>
        <v>22</v>
      </c>
      <c r="AI41" s="109">
        <f t="shared" ref="AI41:AY41" si="39">SUM(AI39:AI40)</f>
        <v>22</v>
      </c>
      <c r="AJ41" s="109">
        <f t="shared" si="39"/>
        <v>22</v>
      </c>
      <c r="AK41" s="109">
        <f t="shared" si="39"/>
        <v>22</v>
      </c>
      <c r="AL41" s="109">
        <f t="shared" si="39"/>
        <v>22</v>
      </c>
      <c r="AM41" s="109">
        <f t="shared" si="39"/>
        <v>22</v>
      </c>
      <c r="AN41" s="109">
        <f t="shared" si="39"/>
        <v>22</v>
      </c>
      <c r="AO41" s="109">
        <f t="shared" si="39"/>
        <v>22</v>
      </c>
      <c r="AP41" s="109">
        <f t="shared" si="39"/>
        <v>22</v>
      </c>
      <c r="AQ41" s="109">
        <f t="shared" si="39"/>
        <v>22</v>
      </c>
      <c r="AR41" s="109">
        <f t="shared" si="39"/>
        <v>22</v>
      </c>
      <c r="AS41" s="109">
        <f t="shared" si="39"/>
        <v>22</v>
      </c>
      <c r="AT41" s="109">
        <f t="shared" si="39"/>
        <v>22</v>
      </c>
      <c r="AU41" s="109">
        <f t="shared" si="39"/>
        <v>22</v>
      </c>
      <c r="AV41" s="109">
        <f t="shared" si="39"/>
        <v>22</v>
      </c>
      <c r="AW41" s="109">
        <f t="shared" si="39"/>
        <v>22</v>
      </c>
      <c r="AX41" s="109">
        <f t="shared" si="39"/>
        <v>22</v>
      </c>
      <c r="AY41" s="109">
        <f t="shared" si="39"/>
        <v>22</v>
      </c>
      <c r="AZ41" s="58"/>
      <c r="BA41" s="58"/>
      <c r="BB41" s="58"/>
      <c r="BC41" s="58"/>
      <c r="BD41" s="58"/>
      <c r="BE41" s="58"/>
      <c r="BF41" s="58"/>
    </row>
    <row r="42" spans="1:58" ht="15">
      <c r="A42" s="59"/>
      <c r="B42" s="58"/>
      <c r="C42" s="58"/>
      <c r="D42" s="58"/>
      <c r="E42" s="58"/>
      <c r="F42" s="159"/>
      <c r="G42" s="58"/>
      <c r="H42" s="58"/>
      <c r="I42" s="58"/>
      <c r="J42" s="59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</row>
    <row r="43" spans="1:58" ht="15">
      <c r="A43" s="59"/>
      <c r="B43" s="58"/>
      <c r="C43" s="58"/>
      <c r="D43" s="58"/>
      <c r="E43" s="58"/>
      <c r="F43" s="159"/>
      <c r="G43" s="58"/>
      <c r="H43" s="58"/>
      <c r="I43" s="56"/>
      <c r="J43" s="59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</row>
    <row r="44" spans="1:58" ht="15">
      <c r="A44" s="59"/>
      <c r="B44" s="58" t="s">
        <v>390</v>
      </c>
      <c r="C44" s="58"/>
      <c r="D44" s="58"/>
      <c r="E44" s="58"/>
      <c r="F44" s="159"/>
      <c r="G44" s="58"/>
      <c r="H44" s="58"/>
      <c r="I44" s="58"/>
      <c r="J44" s="59"/>
      <c r="K44" s="58"/>
      <c r="L44" s="58"/>
      <c r="M44" s="58"/>
      <c r="N44" s="58"/>
      <c r="O44" s="5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58"/>
      <c r="BA44" s="58"/>
      <c r="BB44" s="58"/>
      <c r="BC44" s="58"/>
      <c r="BD44" s="58"/>
      <c r="BE44" s="58"/>
      <c r="BF44" s="58"/>
    </row>
    <row r="45" spans="1:58" ht="15">
      <c r="A45" s="59"/>
      <c r="B45" s="66" t="s">
        <v>21</v>
      </c>
      <c r="C45" s="58"/>
      <c r="D45" s="58"/>
      <c r="E45" s="58"/>
      <c r="F45" s="159"/>
      <c r="G45" s="58"/>
      <c r="H45" s="58"/>
      <c r="I45" s="58"/>
      <c r="J45" s="59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</row>
    <row r="46" spans="1:58" ht="15">
      <c r="A46" s="59"/>
      <c r="B46" s="58"/>
      <c r="C46" s="58"/>
      <c r="D46" s="58"/>
      <c r="E46" s="58"/>
      <c r="F46" s="159"/>
      <c r="G46" s="58"/>
      <c r="H46" s="58"/>
      <c r="I46" s="58"/>
      <c r="J46" s="59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</row>
    <row r="47" spans="1:58" ht="15">
      <c r="A47" s="59"/>
      <c r="B47" s="58"/>
      <c r="C47" s="58"/>
      <c r="D47" s="58"/>
      <c r="E47" s="58"/>
      <c r="F47" s="159"/>
      <c r="G47" s="58"/>
      <c r="H47" s="58"/>
      <c r="I47" s="58"/>
      <c r="J47" s="59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</row>
    <row r="48" spans="1:58" ht="15">
      <c r="A48" s="59"/>
      <c r="B48" s="58"/>
      <c r="C48" s="58"/>
      <c r="D48" s="58"/>
      <c r="E48" s="58"/>
      <c r="F48" s="159"/>
      <c r="G48" s="58"/>
      <c r="H48" s="58"/>
      <c r="I48" s="58"/>
      <c r="J48" s="59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</row>
    <row r="49" spans="1:58" ht="15">
      <c r="A49" s="59"/>
      <c r="B49" s="58"/>
      <c r="C49" s="58"/>
      <c r="D49" s="58"/>
      <c r="E49" s="58"/>
      <c r="F49" s="159"/>
      <c r="G49" s="58"/>
      <c r="H49" s="58"/>
      <c r="I49" s="58"/>
      <c r="J49" s="59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</row>
    <row r="50" spans="1:58" ht="15">
      <c r="A50" s="59"/>
      <c r="B50" s="58"/>
      <c r="C50" s="58"/>
      <c r="D50" s="58"/>
      <c r="E50" s="58"/>
      <c r="F50" s="159"/>
      <c r="G50" s="58"/>
      <c r="H50" s="58"/>
      <c r="I50" s="58"/>
      <c r="J50" s="59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</row>
    <row r="51" spans="1:58" ht="15">
      <c r="A51" s="59"/>
      <c r="B51" s="58"/>
      <c r="C51" s="58"/>
      <c r="D51" s="58"/>
      <c r="E51" s="58"/>
      <c r="F51" s="159"/>
      <c r="G51" s="58"/>
      <c r="H51" s="58"/>
      <c r="I51" s="58"/>
      <c r="J51" s="59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</row>
    <row r="52" spans="1:58" ht="15">
      <c r="A52" s="59"/>
      <c r="B52" s="58"/>
      <c r="C52" s="58"/>
      <c r="D52" s="58"/>
      <c r="E52" s="58"/>
      <c r="F52" s="159"/>
      <c r="G52" s="58"/>
      <c r="H52" s="58"/>
      <c r="I52" s="58"/>
      <c r="J52" s="59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</row>
    <row r="53" spans="1:58" ht="15">
      <c r="A53" s="59"/>
      <c r="B53" s="58"/>
      <c r="C53" s="58"/>
      <c r="D53" s="58"/>
      <c r="E53" s="58"/>
      <c r="F53" s="159"/>
      <c r="G53" s="58"/>
      <c r="H53" s="58"/>
      <c r="I53" s="58"/>
      <c r="J53" s="59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</row>
    <row r="54" spans="1:58" ht="15">
      <c r="A54" s="59"/>
      <c r="B54" s="58"/>
      <c r="C54" s="58"/>
      <c r="D54" s="58"/>
      <c r="E54" s="58"/>
      <c r="F54" s="159"/>
      <c r="G54" s="58"/>
      <c r="H54" s="58"/>
      <c r="I54" s="58"/>
      <c r="J54" s="59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</row>
    <row r="55" spans="1:58" ht="15">
      <c r="A55" s="59"/>
      <c r="B55" s="58"/>
      <c r="C55" s="58"/>
      <c r="D55" s="58"/>
      <c r="E55" s="58"/>
      <c r="F55" s="159"/>
      <c r="G55" s="58"/>
      <c r="H55" s="58"/>
      <c r="I55" s="58"/>
      <c r="J55" s="59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</row>
    <row r="56" spans="1:58" ht="15">
      <c r="A56" s="59"/>
      <c r="B56" s="58"/>
      <c r="C56" s="58"/>
      <c r="D56" s="58"/>
      <c r="E56" s="58"/>
      <c r="F56" s="159"/>
      <c r="G56" s="58"/>
      <c r="H56" s="58"/>
      <c r="I56" s="58"/>
      <c r="J56" s="59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</row>
    <row r="57" spans="1:58" ht="15">
      <c r="A57" s="59"/>
      <c r="B57" s="58"/>
      <c r="C57" s="58"/>
      <c r="D57" s="58"/>
      <c r="E57" s="58"/>
      <c r="F57" s="159"/>
      <c r="G57" s="58"/>
      <c r="H57" s="58"/>
      <c r="I57" s="58"/>
      <c r="J57" s="59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</row>
    <row r="58" spans="1:58" ht="15">
      <c r="A58" s="59"/>
      <c r="B58" s="58"/>
      <c r="C58" s="58"/>
      <c r="D58" s="58"/>
      <c r="E58" s="58"/>
      <c r="F58" s="159"/>
      <c r="G58" s="58"/>
      <c r="H58" s="58"/>
      <c r="I58" s="58"/>
      <c r="J58" s="59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</row>
    <row r="59" spans="1:58" ht="15">
      <c r="A59" s="59"/>
      <c r="B59" s="58"/>
      <c r="C59" s="58"/>
      <c r="D59" s="58"/>
      <c r="E59" s="58"/>
      <c r="F59" s="159"/>
      <c r="G59" s="58"/>
      <c r="H59" s="58"/>
      <c r="I59" s="58"/>
      <c r="J59" s="59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</row>
    <row r="60" spans="1:58" ht="15">
      <c r="A60" s="59"/>
      <c r="B60" s="58"/>
      <c r="C60" s="58"/>
      <c r="D60" s="58"/>
      <c r="E60" s="58"/>
      <c r="F60" s="159"/>
      <c r="G60" s="58"/>
      <c r="H60" s="58"/>
      <c r="I60" s="58"/>
      <c r="J60" s="59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</row>
    <row r="61" spans="1:58" ht="15">
      <c r="A61" s="59"/>
      <c r="B61" s="58"/>
      <c r="C61" s="58"/>
      <c r="D61" s="58"/>
      <c r="E61" s="58"/>
      <c r="F61" s="159"/>
      <c r="G61" s="58"/>
      <c r="H61" s="58"/>
      <c r="I61" s="58"/>
      <c r="J61" s="59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</row>
    <row r="62" spans="1:58" ht="15">
      <c r="A62" s="59"/>
      <c r="B62" s="58"/>
      <c r="C62" s="58"/>
      <c r="D62" s="58"/>
      <c r="E62" s="58"/>
      <c r="F62" s="159"/>
      <c r="G62" s="58"/>
      <c r="H62" s="58"/>
      <c r="I62" s="58"/>
      <c r="J62" s="59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</row>
    <row r="63" spans="1:58" ht="15">
      <c r="A63" s="59"/>
      <c r="B63" s="58"/>
      <c r="C63" s="58"/>
      <c r="D63" s="58"/>
      <c r="E63" s="58"/>
      <c r="F63" s="159"/>
      <c r="G63" s="58"/>
      <c r="H63" s="58"/>
      <c r="I63" s="58"/>
      <c r="J63" s="59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</row>
    <row r="64" spans="1:58" ht="15">
      <c r="A64" s="59"/>
      <c r="B64" s="58"/>
      <c r="C64" s="58"/>
      <c r="D64" s="58"/>
      <c r="E64" s="58"/>
      <c r="F64" s="159"/>
      <c r="G64" s="58"/>
      <c r="H64" s="58"/>
      <c r="I64" s="58"/>
      <c r="J64" s="59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</row>
    <row r="65" spans="1:58" ht="15">
      <c r="A65" s="59"/>
      <c r="B65" s="58"/>
      <c r="C65" s="58"/>
      <c r="D65" s="58"/>
      <c r="E65" s="58"/>
      <c r="F65" s="159"/>
      <c r="G65" s="58"/>
      <c r="H65" s="58"/>
      <c r="I65" s="58"/>
      <c r="J65" s="59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</row>
    <row r="66" spans="1:58" ht="15">
      <c r="A66" s="59"/>
      <c r="B66" s="58"/>
      <c r="C66" s="58"/>
      <c r="D66" s="58"/>
      <c r="E66" s="58"/>
      <c r="F66" s="159"/>
      <c r="G66" s="58"/>
      <c r="H66" s="58"/>
      <c r="I66" s="58"/>
      <c r="J66" s="59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</row>
    <row r="67" spans="1:58" ht="15">
      <c r="A67" s="59"/>
      <c r="B67" s="58"/>
      <c r="C67" s="58"/>
      <c r="D67" s="58"/>
      <c r="E67" s="58"/>
      <c r="F67" s="159"/>
      <c r="G67" s="58"/>
      <c r="H67" s="58"/>
      <c r="I67" s="58"/>
      <c r="J67" s="59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</row>
    <row r="68" spans="1:58" ht="15">
      <c r="A68" s="59"/>
      <c r="B68" s="58"/>
      <c r="C68" s="58"/>
      <c r="D68" s="58"/>
      <c r="E68" s="58"/>
      <c r="F68" s="159"/>
      <c r="G68" s="58"/>
      <c r="H68" s="58"/>
      <c r="I68" s="58"/>
      <c r="J68" s="59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</row>
    <row r="69" spans="1:58" ht="15">
      <c r="A69" s="59"/>
      <c r="B69" s="58"/>
      <c r="C69" s="58"/>
      <c r="D69" s="58"/>
      <c r="E69" s="58"/>
      <c r="F69" s="159"/>
      <c r="G69" s="58"/>
      <c r="H69" s="58"/>
      <c r="I69" s="58"/>
      <c r="J69" s="59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</row>
    <row r="70" spans="1:58" ht="15">
      <c r="A70" s="59"/>
      <c r="B70" s="58"/>
      <c r="C70" s="58"/>
      <c r="D70" s="58"/>
      <c r="E70" s="58"/>
      <c r="F70" s="159"/>
      <c r="G70" s="58"/>
      <c r="H70" s="58"/>
      <c r="I70" s="58"/>
      <c r="J70" s="59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</row>
    <row r="71" spans="1:58" ht="15">
      <c r="A71" s="59"/>
      <c r="B71" s="58"/>
      <c r="C71" s="58"/>
      <c r="D71" s="58"/>
      <c r="E71" s="58"/>
      <c r="F71" s="159"/>
      <c r="G71" s="58"/>
      <c r="H71" s="58"/>
      <c r="I71" s="58"/>
      <c r="J71" s="59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</row>
    <row r="72" spans="1:58" ht="15">
      <c r="A72" s="59"/>
      <c r="B72" s="58"/>
      <c r="C72" s="58"/>
      <c r="D72" s="58"/>
      <c r="E72" s="58"/>
      <c r="F72" s="159"/>
      <c r="G72" s="58"/>
      <c r="H72" s="58"/>
      <c r="I72" s="58"/>
      <c r="J72" s="59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</row>
    <row r="73" spans="1:58" ht="15">
      <c r="A73" s="59"/>
      <c r="B73" s="58"/>
      <c r="C73" s="58"/>
      <c r="D73" s="58"/>
      <c r="E73" s="58"/>
      <c r="F73" s="159"/>
      <c r="G73" s="58"/>
      <c r="H73" s="58"/>
      <c r="I73" s="58"/>
      <c r="J73" s="59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</row>
    <row r="74" spans="1:58" ht="15">
      <c r="A74" s="59"/>
      <c r="B74" s="58"/>
      <c r="C74" s="58"/>
      <c r="D74" s="58"/>
      <c r="E74" s="58"/>
      <c r="F74" s="159"/>
      <c r="G74" s="58"/>
      <c r="H74" s="58"/>
      <c r="I74" s="58"/>
      <c r="J74" s="59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</row>
    <row r="75" spans="1:58" ht="15">
      <c r="A75" s="59"/>
      <c r="B75" s="58"/>
      <c r="C75" s="58"/>
      <c r="D75" s="58"/>
      <c r="E75" s="58"/>
      <c r="F75" s="159"/>
      <c r="G75" s="58"/>
      <c r="H75" s="58"/>
      <c r="I75" s="58"/>
      <c r="J75" s="59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</row>
    <row r="76" spans="1:58" ht="15">
      <c r="A76" s="59"/>
      <c r="B76" s="58"/>
      <c r="C76" s="58"/>
      <c r="D76" s="58"/>
      <c r="E76" s="58"/>
      <c r="F76" s="159"/>
      <c r="G76" s="58"/>
      <c r="H76" s="58"/>
      <c r="I76" s="58"/>
      <c r="J76" s="59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</row>
    <row r="77" spans="1:58" ht="15">
      <c r="A77" s="59"/>
      <c r="B77" s="58"/>
      <c r="C77" s="58"/>
      <c r="D77" s="58"/>
      <c r="E77" s="58"/>
      <c r="F77" s="159"/>
      <c r="G77" s="58"/>
      <c r="H77" s="58"/>
      <c r="I77" s="58"/>
      <c r="J77" s="59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</row>
    <row r="78" spans="1:58" ht="15">
      <c r="A78" s="59"/>
      <c r="B78" s="58"/>
      <c r="C78" s="58"/>
      <c r="D78" s="58"/>
      <c r="E78" s="58"/>
      <c r="F78" s="159"/>
      <c r="G78" s="58"/>
      <c r="H78" s="58"/>
      <c r="I78" s="58"/>
      <c r="J78" s="59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</row>
    <row r="79" spans="1:58" ht="15">
      <c r="A79" s="59"/>
      <c r="B79" s="58"/>
      <c r="C79" s="58"/>
      <c r="D79" s="58"/>
      <c r="E79" s="58"/>
      <c r="F79" s="159"/>
      <c r="G79" s="58"/>
      <c r="H79" s="58"/>
      <c r="I79" s="58"/>
      <c r="J79" s="59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</row>
    <row r="80" spans="1:58" ht="15">
      <c r="A80" s="59"/>
      <c r="B80" s="58"/>
      <c r="C80" s="58"/>
      <c r="D80" s="58"/>
      <c r="E80" s="58"/>
      <c r="F80" s="159"/>
      <c r="G80" s="58"/>
      <c r="H80" s="58"/>
      <c r="I80" s="58"/>
      <c r="J80" s="59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</row>
    <row r="81" spans="1:58" ht="15">
      <c r="A81" s="59"/>
      <c r="B81" s="58"/>
      <c r="C81" s="58"/>
      <c r="D81" s="58"/>
      <c r="E81" s="58"/>
      <c r="F81" s="159"/>
      <c r="G81" s="58"/>
      <c r="H81" s="58"/>
      <c r="I81" s="58"/>
      <c r="J81" s="59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</row>
    <row r="82" spans="1:58" ht="15">
      <c r="A82" s="59"/>
      <c r="B82" s="58"/>
      <c r="C82" s="58"/>
      <c r="D82" s="58"/>
      <c r="E82" s="58"/>
      <c r="F82" s="159"/>
      <c r="G82" s="58"/>
      <c r="H82" s="58"/>
      <c r="I82" s="58"/>
      <c r="J82" s="59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</row>
    <row r="83" spans="1:58" ht="15">
      <c r="A83" s="59"/>
      <c r="B83" s="58"/>
      <c r="C83" s="58"/>
      <c r="D83" s="58"/>
      <c r="E83" s="58"/>
      <c r="F83" s="159"/>
      <c r="G83" s="58"/>
      <c r="H83" s="58"/>
      <c r="I83" s="58"/>
      <c r="J83" s="59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</row>
    <row r="84" spans="1:58" ht="15">
      <c r="A84" s="59"/>
      <c r="B84" s="58"/>
      <c r="C84" s="58"/>
      <c r="D84" s="58"/>
      <c r="E84" s="58"/>
      <c r="F84" s="159"/>
      <c r="G84" s="58"/>
      <c r="H84" s="58"/>
      <c r="I84" s="58"/>
      <c r="J84" s="59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</row>
    <row r="85" spans="1:58" ht="15">
      <c r="A85" s="59"/>
      <c r="B85" s="58"/>
      <c r="C85" s="58"/>
      <c r="D85" s="58"/>
      <c r="E85" s="58"/>
      <c r="F85" s="159"/>
      <c r="G85" s="58"/>
      <c r="H85" s="58"/>
      <c r="I85" s="58"/>
      <c r="J85" s="59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</row>
    <row r="86" spans="1:58" ht="15">
      <c r="A86" s="59"/>
      <c r="B86" s="58"/>
      <c r="C86" s="58"/>
      <c r="D86" s="58"/>
      <c r="E86" s="58"/>
      <c r="F86" s="159"/>
      <c r="G86" s="58"/>
      <c r="H86" s="58"/>
      <c r="I86" s="58"/>
      <c r="J86" s="59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</row>
    <row r="87" spans="1:58" ht="15">
      <c r="A87" s="59"/>
      <c r="B87" s="58"/>
      <c r="C87" s="58"/>
      <c r="D87" s="58"/>
      <c r="E87" s="58"/>
      <c r="F87" s="159"/>
      <c r="G87" s="58"/>
      <c r="H87" s="58"/>
      <c r="I87" s="58"/>
      <c r="J87" s="59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</row>
    <row r="88" spans="1:58" ht="15">
      <c r="A88" s="59"/>
      <c r="B88" s="58"/>
      <c r="C88" s="58"/>
      <c r="D88" s="58"/>
      <c r="E88" s="58"/>
      <c r="F88" s="159"/>
      <c r="G88" s="58"/>
      <c r="H88" s="58"/>
      <c r="I88" s="58"/>
      <c r="J88" s="59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</row>
    <row r="89" spans="1:58" ht="15">
      <c r="A89" s="59"/>
      <c r="B89" s="58"/>
      <c r="C89" s="58"/>
      <c r="D89" s="58"/>
      <c r="E89" s="58"/>
      <c r="F89" s="159"/>
      <c r="G89" s="58"/>
      <c r="H89" s="58"/>
      <c r="I89" s="58"/>
      <c r="J89" s="59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</row>
    <row r="90" spans="1:58" ht="15">
      <c r="A90" s="59"/>
      <c r="B90" s="58"/>
      <c r="C90" s="58"/>
      <c r="D90" s="58"/>
      <c r="E90" s="58"/>
      <c r="F90" s="159"/>
      <c r="G90" s="58"/>
      <c r="H90" s="58"/>
      <c r="I90" s="58"/>
      <c r="J90" s="59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</row>
    <row r="91" spans="1:58" ht="15">
      <c r="A91" s="59"/>
      <c r="B91" s="58"/>
      <c r="C91" s="58"/>
      <c r="D91" s="58"/>
      <c r="E91" s="58"/>
      <c r="F91" s="159"/>
      <c r="G91" s="58"/>
      <c r="H91" s="58"/>
      <c r="I91" s="58"/>
      <c r="J91" s="59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</row>
    <row r="92" spans="1:58" ht="15">
      <c r="A92" s="59"/>
      <c r="B92" s="58"/>
      <c r="C92" s="58"/>
      <c r="D92" s="58"/>
      <c r="E92" s="58"/>
      <c r="F92" s="159"/>
      <c r="G92" s="58"/>
      <c r="H92" s="58"/>
      <c r="I92" s="58"/>
      <c r="J92" s="59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</row>
    <row r="93" spans="1:58" ht="15">
      <c r="A93" s="59"/>
      <c r="B93" s="58"/>
      <c r="C93" s="58"/>
      <c r="D93" s="58"/>
      <c r="E93" s="58"/>
      <c r="F93" s="159"/>
      <c r="G93" s="58"/>
      <c r="H93" s="58"/>
      <c r="I93" s="58"/>
      <c r="J93" s="59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</row>
    <row r="94" spans="1:58" ht="15">
      <c r="A94" s="59"/>
      <c r="B94" s="58"/>
      <c r="C94" s="58"/>
      <c r="D94" s="58"/>
      <c r="E94" s="58"/>
      <c r="F94" s="159"/>
      <c r="G94" s="58"/>
      <c r="H94" s="58"/>
      <c r="I94" s="58"/>
      <c r="J94" s="59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</row>
    <row r="95" spans="1:58" ht="15">
      <c r="A95" s="59"/>
      <c r="B95" s="58"/>
      <c r="C95" s="58"/>
      <c r="D95" s="58"/>
      <c r="E95" s="58"/>
      <c r="F95" s="159"/>
      <c r="G95" s="58"/>
      <c r="H95" s="58"/>
      <c r="I95" s="58"/>
      <c r="J95" s="59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</row>
    <row r="96" spans="1:58" ht="15">
      <c r="A96" s="59"/>
      <c r="B96" s="58"/>
      <c r="C96" s="58"/>
      <c r="D96" s="58"/>
      <c r="E96" s="58"/>
      <c r="F96" s="159"/>
      <c r="G96" s="58"/>
      <c r="H96" s="58"/>
      <c r="I96" s="58"/>
      <c r="J96" s="59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</row>
    <row r="97" spans="1:58" ht="15">
      <c r="A97" s="59"/>
      <c r="B97" s="58"/>
      <c r="C97" s="58"/>
      <c r="D97" s="58"/>
      <c r="E97" s="58"/>
      <c r="F97" s="159"/>
      <c r="G97" s="58"/>
      <c r="H97" s="58"/>
      <c r="I97" s="58"/>
      <c r="J97" s="59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</sheetPr>
  <dimension ref="A1:AS66"/>
  <sheetViews>
    <sheetView showGridLines="0" topLeftCell="A2" workbookViewId="0">
      <pane xSplit="4" topLeftCell="E1" activePane="topRight" state="frozen"/>
      <selection pane="topRight" activeCell="N39" sqref="N39"/>
    </sheetView>
  </sheetViews>
  <sheetFormatPr baseColWidth="10" defaultColWidth="8.83203125" defaultRowHeight="14"/>
  <cols>
    <col min="1" max="1" width="1.83203125" style="21" customWidth="1"/>
    <col min="2" max="2" width="38.33203125" style="16" customWidth="1"/>
    <col min="3" max="3" width="24.6640625" style="21" customWidth="1"/>
    <col min="4" max="4" width="22.83203125" style="21" customWidth="1"/>
    <col min="5" max="9" width="7.6640625" style="21" customWidth="1"/>
    <col min="10" max="13" width="10" style="16" customWidth="1"/>
    <col min="14" max="16384" width="8.83203125" style="16"/>
  </cols>
  <sheetData>
    <row r="1" spans="1:45" s="323" customFormat="1" ht="16">
      <c r="A1" s="297" t="s">
        <v>495</v>
      </c>
      <c r="B1" s="298"/>
      <c r="C1" s="299"/>
      <c r="D1" s="299"/>
      <c r="E1" s="299"/>
      <c r="F1" s="299"/>
      <c r="G1" s="299"/>
      <c r="H1" s="299"/>
      <c r="I1" s="299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</row>
    <row r="2" spans="1:45" ht="16" customHeight="1">
      <c r="A2" s="59"/>
      <c r="C2" s="59"/>
      <c r="D2" s="59"/>
      <c r="E2" s="59"/>
      <c r="F2" s="59"/>
      <c r="G2" s="59"/>
      <c r="H2" s="59"/>
      <c r="I2" s="59"/>
    </row>
    <row r="3" spans="1:45" ht="15">
      <c r="A3" s="59"/>
      <c r="B3" s="162" t="str">
        <f>'Revenue &amp; COGS Building'!B12</f>
        <v xml:space="preserve">Financial year start month </v>
      </c>
      <c r="C3" s="113"/>
      <c r="D3" s="59"/>
      <c r="E3" s="59"/>
      <c r="F3" s="59"/>
      <c r="G3" s="59"/>
      <c r="H3" s="59"/>
      <c r="I3" s="59"/>
      <c r="J3" s="163">
        <f>'Revenue &amp; COGS Building'!O12</f>
        <v>46053</v>
      </c>
      <c r="K3" s="163">
        <f>'Revenue &amp; COGS Building'!P12</f>
        <v>46054</v>
      </c>
      <c r="L3" s="163">
        <f>'Revenue &amp; COGS Building'!Q12</f>
        <v>46082</v>
      </c>
      <c r="M3" s="163">
        <f>'Revenue &amp; COGS Building'!R12</f>
        <v>46113</v>
      </c>
      <c r="N3" s="163">
        <f>'Revenue &amp; COGS Building'!S12</f>
        <v>46143</v>
      </c>
      <c r="O3" s="163">
        <f>'Revenue &amp; COGS Building'!T12</f>
        <v>46174</v>
      </c>
      <c r="P3" s="163">
        <f>'Revenue &amp; COGS Building'!U12</f>
        <v>46204</v>
      </c>
      <c r="Q3" s="163">
        <f>'Revenue &amp; COGS Building'!V12</f>
        <v>46235</v>
      </c>
      <c r="R3" s="163">
        <f>'Revenue &amp; COGS Building'!W12</f>
        <v>46266</v>
      </c>
      <c r="S3" s="163">
        <f>'Revenue &amp; COGS Building'!X12</f>
        <v>46296</v>
      </c>
      <c r="T3" s="163">
        <f>'Revenue &amp; COGS Building'!Y12</f>
        <v>46327</v>
      </c>
      <c r="U3" s="163">
        <f>'Revenue &amp; COGS Building'!Z12</f>
        <v>46357</v>
      </c>
      <c r="V3" s="163">
        <f>'Revenue &amp; COGS Building'!AA12</f>
        <v>46388</v>
      </c>
      <c r="W3" s="163">
        <f>'Revenue &amp; COGS Building'!AB12</f>
        <v>46419</v>
      </c>
      <c r="X3" s="163">
        <f>'Revenue &amp; COGS Building'!AC12</f>
        <v>46447</v>
      </c>
      <c r="Y3" s="163">
        <f>'Revenue &amp; COGS Building'!AD12</f>
        <v>46478</v>
      </c>
      <c r="Z3" s="163">
        <f>'Revenue &amp; COGS Building'!AE12</f>
        <v>46508</v>
      </c>
      <c r="AA3" s="163">
        <f>'Revenue &amp; COGS Building'!AF12</f>
        <v>46539</v>
      </c>
      <c r="AB3" s="163">
        <f>'Revenue &amp; COGS Building'!AG12</f>
        <v>46569</v>
      </c>
      <c r="AC3" s="163">
        <f>'Revenue &amp; COGS Building'!AH12</f>
        <v>46600</v>
      </c>
      <c r="AD3" s="163">
        <f>'Revenue &amp; COGS Building'!AI12</f>
        <v>46631</v>
      </c>
      <c r="AE3" s="163">
        <f>'Revenue &amp; COGS Building'!AJ12</f>
        <v>46661</v>
      </c>
      <c r="AF3" s="163">
        <f>'Revenue &amp; COGS Building'!AK12</f>
        <v>46692</v>
      </c>
      <c r="AG3" s="163">
        <f>'Revenue &amp; COGS Building'!AL12</f>
        <v>46722</v>
      </c>
      <c r="AH3" s="163">
        <f>'Revenue &amp; COGS Building'!AM12</f>
        <v>46753</v>
      </c>
      <c r="AI3" s="163">
        <f>'Revenue &amp; COGS Building'!AN12</f>
        <v>46784</v>
      </c>
      <c r="AJ3" s="163">
        <f>'Revenue &amp; COGS Building'!AO12</f>
        <v>46813</v>
      </c>
      <c r="AK3" s="163">
        <f>'Revenue &amp; COGS Building'!AP12</f>
        <v>46844</v>
      </c>
      <c r="AL3" s="163">
        <f>'Revenue &amp; COGS Building'!AQ12</f>
        <v>46874</v>
      </c>
      <c r="AM3" s="163">
        <f>'Revenue &amp; COGS Building'!AR12</f>
        <v>46905</v>
      </c>
      <c r="AN3" s="163">
        <f>'Revenue &amp; COGS Building'!AS12</f>
        <v>46935</v>
      </c>
      <c r="AO3" s="163">
        <f>'Revenue &amp; COGS Building'!AT12</f>
        <v>46966</v>
      </c>
      <c r="AP3" s="163">
        <f>'Revenue &amp; COGS Building'!AU12</f>
        <v>46997</v>
      </c>
      <c r="AQ3" s="163">
        <f>'Revenue &amp; COGS Building'!AV12</f>
        <v>47027</v>
      </c>
      <c r="AR3" s="163">
        <f>'Revenue &amp; COGS Building'!AW12</f>
        <v>47058</v>
      </c>
      <c r="AS3" s="163">
        <f>'Revenue &amp; COGS Building'!AX12</f>
        <v>47088</v>
      </c>
    </row>
    <row r="4" spans="1:45" ht="15">
      <c r="A4" s="59"/>
      <c r="B4" s="162" t="str">
        <f>'Revenue &amp; COGS Building'!B13</f>
        <v>Month</v>
      </c>
      <c r="C4" s="113"/>
      <c r="D4" s="59"/>
      <c r="E4" s="59"/>
      <c r="F4" s="59"/>
      <c r="G4" s="59"/>
      <c r="H4" s="59"/>
      <c r="I4" s="59"/>
      <c r="J4" s="435">
        <f>'Revenue &amp; COGS Building'!O13</f>
        <v>1</v>
      </c>
      <c r="K4" s="435">
        <f>'Revenue &amp; COGS Building'!P13</f>
        <v>2</v>
      </c>
      <c r="L4" s="435">
        <f>'Revenue &amp; COGS Building'!Q13</f>
        <v>3</v>
      </c>
      <c r="M4" s="435">
        <f>'Revenue &amp; COGS Building'!R13</f>
        <v>4</v>
      </c>
      <c r="N4" s="435">
        <f>'Revenue &amp; COGS Building'!S13</f>
        <v>5</v>
      </c>
      <c r="O4" s="435">
        <f>'Revenue &amp; COGS Building'!T13</f>
        <v>6</v>
      </c>
      <c r="P4" s="435">
        <f>'Revenue &amp; COGS Building'!U13</f>
        <v>7</v>
      </c>
      <c r="Q4" s="435">
        <f>'Revenue &amp; COGS Building'!V13</f>
        <v>8</v>
      </c>
      <c r="R4" s="435">
        <f>'Revenue &amp; COGS Building'!W13</f>
        <v>9</v>
      </c>
      <c r="S4" s="435">
        <f>'Revenue &amp; COGS Building'!X13</f>
        <v>10</v>
      </c>
      <c r="T4" s="435">
        <f>'Revenue &amp; COGS Building'!Y13</f>
        <v>11</v>
      </c>
      <c r="U4" s="435">
        <f>'Revenue &amp; COGS Building'!Z13</f>
        <v>12</v>
      </c>
      <c r="V4" s="435">
        <f>'Revenue &amp; COGS Building'!AA13</f>
        <v>13</v>
      </c>
      <c r="W4" s="435">
        <f>'Revenue &amp; COGS Building'!AB13</f>
        <v>14</v>
      </c>
      <c r="X4" s="435">
        <f>'Revenue &amp; COGS Building'!AC13</f>
        <v>15</v>
      </c>
      <c r="Y4" s="435">
        <f>'Revenue &amp; COGS Building'!AD13</f>
        <v>16</v>
      </c>
      <c r="Z4" s="435">
        <f>'Revenue &amp; COGS Building'!AE13</f>
        <v>17</v>
      </c>
      <c r="AA4" s="435">
        <f>'Revenue &amp; COGS Building'!AF13</f>
        <v>18</v>
      </c>
      <c r="AB4" s="435">
        <f>'Revenue &amp; COGS Building'!AG13</f>
        <v>19</v>
      </c>
      <c r="AC4" s="435">
        <f>'Revenue &amp; COGS Building'!AH13</f>
        <v>20</v>
      </c>
      <c r="AD4" s="435">
        <f>'Revenue &amp; COGS Building'!AI13</f>
        <v>21</v>
      </c>
      <c r="AE4" s="435">
        <f>'Revenue &amp; COGS Building'!AJ13</f>
        <v>22</v>
      </c>
      <c r="AF4" s="435">
        <f>'Revenue &amp; COGS Building'!AK13</f>
        <v>23</v>
      </c>
      <c r="AG4" s="435">
        <f>'Revenue &amp; COGS Building'!AL13</f>
        <v>24</v>
      </c>
      <c r="AH4" s="435">
        <f>'Revenue &amp; COGS Building'!AM13</f>
        <v>25</v>
      </c>
      <c r="AI4" s="435">
        <f>'Revenue &amp; COGS Building'!AN13</f>
        <v>26</v>
      </c>
      <c r="AJ4" s="435">
        <f>'Revenue &amp; COGS Building'!AO13</f>
        <v>27</v>
      </c>
      <c r="AK4" s="435">
        <f>'Revenue &amp; COGS Building'!AP13</f>
        <v>28</v>
      </c>
      <c r="AL4" s="435">
        <f>'Revenue &amp; COGS Building'!AQ13</f>
        <v>29</v>
      </c>
      <c r="AM4" s="435">
        <f>'Revenue &amp; COGS Building'!AR13</f>
        <v>30</v>
      </c>
      <c r="AN4" s="435">
        <f>'Revenue &amp; COGS Building'!AS13</f>
        <v>31</v>
      </c>
      <c r="AO4" s="435">
        <f>'Revenue &amp; COGS Building'!AT13</f>
        <v>32</v>
      </c>
      <c r="AP4" s="435">
        <f>'Revenue &amp; COGS Building'!AU13</f>
        <v>33</v>
      </c>
      <c r="AQ4" s="435">
        <f>'Revenue &amp; COGS Building'!AV13</f>
        <v>34</v>
      </c>
      <c r="AR4" s="435">
        <f>'Revenue &amp; COGS Building'!AW13</f>
        <v>35</v>
      </c>
      <c r="AS4" s="435">
        <f>'Revenue &amp; COGS Building'!AX13</f>
        <v>36</v>
      </c>
    </row>
    <row r="5" spans="1:45" s="11" customFormat="1" ht="15">
      <c r="A5" s="65"/>
      <c r="B5" s="162" t="str">
        <f>'Revenue &amp; COGS Building'!B14</f>
        <v>Year</v>
      </c>
      <c r="C5" s="113"/>
      <c r="D5" s="65"/>
      <c r="E5" s="65"/>
      <c r="F5" s="65"/>
      <c r="G5" s="65"/>
      <c r="H5" s="65"/>
      <c r="I5" s="65"/>
      <c r="J5" s="435">
        <f>'Revenue &amp; COGS Building'!O14</f>
        <v>1</v>
      </c>
      <c r="K5" s="435">
        <f>'Revenue &amp; COGS Building'!P14</f>
        <v>1</v>
      </c>
      <c r="L5" s="435">
        <f>'Revenue &amp; COGS Building'!Q14</f>
        <v>1</v>
      </c>
      <c r="M5" s="435">
        <f>'Revenue &amp; COGS Building'!R14</f>
        <v>1</v>
      </c>
      <c r="N5" s="435">
        <f>'Revenue &amp; COGS Building'!S14</f>
        <v>1</v>
      </c>
      <c r="O5" s="435">
        <f>'Revenue &amp; COGS Building'!T14</f>
        <v>1</v>
      </c>
      <c r="P5" s="435">
        <f>'Revenue &amp; COGS Building'!U14</f>
        <v>1</v>
      </c>
      <c r="Q5" s="435">
        <f>'Revenue &amp; COGS Building'!V14</f>
        <v>1</v>
      </c>
      <c r="R5" s="435">
        <f>'Revenue &amp; COGS Building'!W14</f>
        <v>1</v>
      </c>
      <c r="S5" s="435">
        <f>'Revenue &amp; COGS Building'!X14</f>
        <v>1</v>
      </c>
      <c r="T5" s="435">
        <f>'Revenue &amp; COGS Building'!Y14</f>
        <v>1</v>
      </c>
      <c r="U5" s="435">
        <f>'Revenue &amp; COGS Building'!Z14</f>
        <v>1</v>
      </c>
      <c r="V5" s="435">
        <f>'Revenue &amp; COGS Building'!AA14</f>
        <v>2</v>
      </c>
      <c r="W5" s="435">
        <f>'Revenue &amp; COGS Building'!AB14</f>
        <v>2</v>
      </c>
      <c r="X5" s="435">
        <f>'Revenue &amp; COGS Building'!AC14</f>
        <v>2</v>
      </c>
      <c r="Y5" s="435">
        <f>'Revenue &amp; COGS Building'!AD14</f>
        <v>2</v>
      </c>
      <c r="Z5" s="435">
        <f>'Revenue &amp; COGS Building'!AE14</f>
        <v>2</v>
      </c>
      <c r="AA5" s="435">
        <f>'Revenue &amp; COGS Building'!AF14</f>
        <v>2</v>
      </c>
      <c r="AB5" s="435">
        <f>'Revenue &amp; COGS Building'!AG14</f>
        <v>2</v>
      </c>
      <c r="AC5" s="435">
        <f>'Revenue &amp; COGS Building'!AH14</f>
        <v>2</v>
      </c>
      <c r="AD5" s="435">
        <f>'Revenue &amp; COGS Building'!AI14</f>
        <v>2</v>
      </c>
      <c r="AE5" s="435">
        <f>'Revenue &amp; COGS Building'!AJ14</f>
        <v>2</v>
      </c>
      <c r="AF5" s="435">
        <f>'Revenue &amp; COGS Building'!AK14</f>
        <v>2</v>
      </c>
      <c r="AG5" s="435">
        <f>'Revenue &amp; COGS Building'!AL14</f>
        <v>2</v>
      </c>
      <c r="AH5" s="435">
        <f>'Revenue &amp; COGS Building'!AM14</f>
        <v>3</v>
      </c>
      <c r="AI5" s="435">
        <f>'Revenue &amp; COGS Building'!AN14</f>
        <v>3</v>
      </c>
      <c r="AJ5" s="435">
        <f>'Revenue &amp; COGS Building'!AO14</f>
        <v>3</v>
      </c>
      <c r="AK5" s="435">
        <f>'Revenue &amp; COGS Building'!AP14</f>
        <v>3</v>
      </c>
      <c r="AL5" s="435">
        <f>'Revenue &amp; COGS Building'!AQ14</f>
        <v>3</v>
      </c>
      <c r="AM5" s="435">
        <f>'Revenue &amp; COGS Building'!AR14</f>
        <v>3</v>
      </c>
      <c r="AN5" s="435">
        <f>'Revenue &amp; COGS Building'!AS14</f>
        <v>3</v>
      </c>
      <c r="AO5" s="435">
        <f>'Revenue &amp; COGS Building'!AT14</f>
        <v>3</v>
      </c>
      <c r="AP5" s="435">
        <f>'Revenue &amp; COGS Building'!AU14</f>
        <v>3</v>
      </c>
      <c r="AQ5" s="435">
        <f>'Revenue &amp; COGS Building'!AV14</f>
        <v>3</v>
      </c>
      <c r="AR5" s="435">
        <f>'Revenue &amp; COGS Building'!AW14</f>
        <v>3</v>
      </c>
      <c r="AS5" s="435">
        <f>'Revenue &amp; COGS Building'!AX14</f>
        <v>3</v>
      </c>
    </row>
    <row r="6" spans="1:45" s="11" customFormat="1" ht="16" thickBot="1">
      <c r="A6" s="65"/>
      <c r="B6" s="346" t="s">
        <v>83</v>
      </c>
      <c r="C6" s="436">
        <f>'Historicals &amp; Projections'!D6</f>
        <v>2025</v>
      </c>
      <c r="D6" s="347" t="s">
        <v>340</v>
      </c>
      <c r="E6" s="347">
        <f>'Revenue &amp; COGS Building'!O15</f>
        <v>2026</v>
      </c>
      <c r="F6" s="347">
        <f>E6+1</f>
        <v>2027</v>
      </c>
      <c r="G6" s="347">
        <f t="shared" ref="G6:I6" si="0">F6+1</f>
        <v>2028</v>
      </c>
      <c r="H6" s="347">
        <f t="shared" si="0"/>
        <v>2029</v>
      </c>
      <c r="I6" s="347">
        <f t="shared" si="0"/>
        <v>2030</v>
      </c>
      <c r="J6" s="347">
        <f>'Revenue &amp; COGS Building'!O15</f>
        <v>2026</v>
      </c>
      <c r="K6" s="347">
        <f>'Revenue &amp; COGS Building'!P15</f>
        <v>2026</v>
      </c>
      <c r="L6" s="347">
        <f>'Revenue &amp; COGS Building'!Q15</f>
        <v>2026</v>
      </c>
      <c r="M6" s="347">
        <f>'Revenue &amp; COGS Building'!R15</f>
        <v>2026</v>
      </c>
      <c r="N6" s="347">
        <f>'Revenue &amp; COGS Building'!S15</f>
        <v>2026</v>
      </c>
      <c r="O6" s="347">
        <f>'Revenue &amp; COGS Building'!T15</f>
        <v>2026</v>
      </c>
      <c r="P6" s="347">
        <f>'Revenue &amp; COGS Building'!U15</f>
        <v>2026</v>
      </c>
      <c r="Q6" s="347">
        <f>'Revenue &amp; COGS Building'!V15</f>
        <v>2026</v>
      </c>
      <c r="R6" s="347">
        <f>'Revenue &amp; COGS Building'!W15</f>
        <v>2026</v>
      </c>
      <c r="S6" s="347">
        <f>'Revenue &amp; COGS Building'!X15</f>
        <v>2026</v>
      </c>
      <c r="T6" s="347">
        <f>'Revenue &amp; COGS Building'!Y15</f>
        <v>2026</v>
      </c>
      <c r="U6" s="347">
        <f>'Revenue &amp; COGS Building'!Z15</f>
        <v>2026</v>
      </c>
      <c r="V6" s="347">
        <f>'Revenue &amp; COGS Building'!AA15</f>
        <v>2027</v>
      </c>
      <c r="W6" s="347">
        <f>'Revenue &amp; COGS Building'!AB15</f>
        <v>2027</v>
      </c>
      <c r="X6" s="347">
        <f>'Revenue &amp; COGS Building'!AC15</f>
        <v>2027</v>
      </c>
      <c r="Y6" s="347">
        <f>'Revenue &amp; COGS Building'!AD15</f>
        <v>2027</v>
      </c>
      <c r="Z6" s="347">
        <f>'Revenue &amp; COGS Building'!AE15</f>
        <v>2027</v>
      </c>
      <c r="AA6" s="347">
        <f>'Revenue &amp; COGS Building'!AF15</f>
        <v>2027</v>
      </c>
      <c r="AB6" s="347">
        <f>'Revenue &amp; COGS Building'!AG15</f>
        <v>2027</v>
      </c>
      <c r="AC6" s="347">
        <f>'Revenue &amp; COGS Building'!AH15</f>
        <v>2027</v>
      </c>
      <c r="AD6" s="347">
        <f>'Revenue &amp; COGS Building'!AI15</f>
        <v>2027</v>
      </c>
      <c r="AE6" s="347">
        <f>'Revenue &amp; COGS Building'!AJ15</f>
        <v>2027</v>
      </c>
      <c r="AF6" s="347">
        <f>'Revenue &amp; COGS Building'!AK15</f>
        <v>2027</v>
      </c>
      <c r="AG6" s="347">
        <f>'Revenue &amp; COGS Building'!AL15</f>
        <v>2027</v>
      </c>
      <c r="AH6" s="347">
        <f>'Revenue &amp; COGS Building'!AM15</f>
        <v>2028</v>
      </c>
      <c r="AI6" s="347">
        <f>'Revenue &amp; COGS Building'!AN15</f>
        <v>2028</v>
      </c>
      <c r="AJ6" s="347">
        <f>'Revenue &amp; COGS Building'!AO15</f>
        <v>2028</v>
      </c>
      <c r="AK6" s="347">
        <f>'Revenue &amp; COGS Building'!AP15</f>
        <v>2028</v>
      </c>
      <c r="AL6" s="347">
        <f>'Revenue &amp; COGS Building'!AQ15</f>
        <v>2028</v>
      </c>
      <c r="AM6" s="347">
        <f>'Revenue &amp; COGS Building'!AR15</f>
        <v>2028</v>
      </c>
      <c r="AN6" s="347">
        <f>'Revenue &amp; COGS Building'!AS15</f>
        <v>2028</v>
      </c>
      <c r="AO6" s="347">
        <f>'Revenue &amp; COGS Building'!AT15</f>
        <v>2028</v>
      </c>
      <c r="AP6" s="347">
        <f>'Revenue &amp; COGS Building'!AU15</f>
        <v>2028</v>
      </c>
      <c r="AQ6" s="347">
        <f>'Revenue &amp; COGS Building'!AV15</f>
        <v>2028</v>
      </c>
      <c r="AR6" s="347">
        <f>'Revenue &amp; COGS Building'!AW15</f>
        <v>2028</v>
      </c>
      <c r="AS6" s="347">
        <f>'Revenue &amp; COGS Building'!AX15</f>
        <v>2028</v>
      </c>
    </row>
    <row r="7" spans="1:45" s="11" customFormat="1" ht="15">
      <c r="A7" s="65"/>
      <c r="B7" s="62"/>
      <c r="C7" s="62"/>
      <c r="D7" s="62"/>
      <c r="E7" s="62"/>
      <c r="F7" s="62"/>
      <c r="G7" s="62"/>
      <c r="H7" s="62"/>
      <c r="I7" s="62"/>
      <c r="J7" s="62"/>
      <c r="K7" s="62"/>
      <c r="L7" s="104"/>
      <c r="M7" s="62"/>
      <c r="N7" s="62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</row>
    <row r="8" spans="1:45" s="11" customFormat="1" ht="15">
      <c r="A8" s="65"/>
      <c r="B8" s="62"/>
      <c r="C8" s="114" t="s">
        <v>547</v>
      </c>
      <c r="D8" s="62"/>
      <c r="E8" s="62"/>
      <c r="F8" s="62"/>
      <c r="G8" s="62"/>
      <c r="H8" s="62"/>
      <c r="I8" s="62"/>
      <c r="J8" s="108"/>
      <c r="K8" s="108"/>
      <c r="L8" s="108"/>
      <c r="M8" s="62"/>
      <c r="N8" s="62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</row>
    <row r="9" spans="1:45" s="11" customFormat="1" ht="15">
      <c r="A9" s="65"/>
      <c r="B9" s="105" t="s">
        <v>201</v>
      </c>
      <c r="C9" s="442">
        <f>'Salaries &amp; Headcount'!E21</f>
        <v>52500</v>
      </c>
      <c r="D9" s="463" t="s">
        <v>345</v>
      </c>
      <c r="E9" s="464"/>
      <c r="F9" s="464"/>
      <c r="G9" s="464"/>
      <c r="H9" s="464"/>
      <c r="I9" s="464"/>
      <c r="J9" s="445">
        <f>+'Salaries &amp; Headcount'!P21</f>
        <v>4248.8</v>
      </c>
      <c r="K9" s="445">
        <f>+'Salaries &amp; Headcount'!Q21</f>
        <v>4248.8</v>
      </c>
      <c r="L9" s="445">
        <f>+'Salaries &amp; Headcount'!R21</f>
        <v>4248.8</v>
      </c>
      <c r="M9" s="445">
        <f>+'Salaries &amp; Headcount'!S21</f>
        <v>4248.8</v>
      </c>
      <c r="N9" s="445">
        <f>+'Salaries &amp; Headcount'!T21</f>
        <v>4248.8</v>
      </c>
      <c r="O9" s="445">
        <f>+'Salaries &amp; Headcount'!U21</f>
        <v>4248.8</v>
      </c>
      <c r="P9" s="445">
        <f>+'Salaries &amp; Headcount'!V21</f>
        <v>4248.8</v>
      </c>
      <c r="Q9" s="445">
        <f>+'Salaries &amp; Headcount'!W21</f>
        <v>4248.8</v>
      </c>
      <c r="R9" s="445">
        <f>+'Salaries &amp; Headcount'!X21</f>
        <v>4248.8</v>
      </c>
      <c r="S9" s="445">
        <f>+'Salaries &amp; Headcount'!Y21</f>
        <v>4248.8</v>
      </c>
      <c r="T9" s="445">
        <f>+'Salaries &amp; Headcount'!Z21</f>
        <v>4248.8</v>
      </c>
      <c r="U9" s="445">
        <f>+'Salaries &amp; Headcount'!AA21</f>
        <v>4248.8</v>
      </c>
      <c r="V9" s="445">
        <f>+'Salaries &amp; Headcount'!AB21</f>
        <v>5288.7500833333334</v>
      </c>
      <c r="W9" s="445">
        <f>+'Salaries &amp; Headcount'!AC21</f>
        <v>5288.7500833333334</v>
      </c>
      <c r="X9" s="445">
        <f>+'Salaries &amp; Headcount'!AD21</f>
        <v>5288.7500833333334</v>
      </c>
      <c r="Y9" s="445">
        <f>+'Salaries &amp; Headcount'!AE21</f>
        <v>5288.7500833333334</v>
      </c>
      <c r="Z9" s="445">
        <f>+'Salaries &amp; Headcount'!AF21</f>
        <v>5288.7500833333334</v>
      </c>
      <c r="AA9" s="445">
        <f>+'Salaries &amp; Headcount'!AG21</f>
        <v>5288.7500833333334</v>
      </c>
      <c r="AB9" s="445">
        <f>+'Salaries &amp; Headcount'!AH21</f>
        <v>5288.7500833333334</v>
      </c>
      <c r="AC9" s="445">
        <f>+'Salaries &amp; Headcount'!AI21</f>
        <v>5288.7500833333334</v>
      </c>
      <c r="AD9" s="445">
        <f>+'Salaries &amp; Headcount'!AJ21</f>
        <v>5288.7500833333334</v>
      </c>
      <c r="AE9" s="445">
        <f>+'Salaries &amp; Headcount'!AK21</f>
        <v>5288.7500833333334</v>
      </c>
      <c r="AF9" s="445">
        <f>+'Salaries &amp; Headcount'!AL21</f>
        <v>5288.7500833333334</v>
      </c>
      <c r="AG9" s="445">
        <f>+'Salaries &amp; Headcount'!AM21</f>
        <v>5288.7500833333334</v>
      </c>
      <c r="AH9" s="445">
        <f>+'Salaries &amp; Headcount'!AN21</f>
        <v>5218.1957200000006</v>
      </c>
      <c r="AI9" s="445">
        <f>+'Salaries &amp; Headcount'!AO21</f>
        <v>5218.1957200000006</v>
      </c>
      <c r="AJ9" s="445">
        <f>+'Salaries &amp; Headcount'!AP21</f>
        <v>5218.1957200000006</v>
      </c>
      <c r="AK9" s="445">
        <f>+'Salaries &amp; Headcount'!AQ21</f>
        <v>5218.1957200000006</v>
      </c>
      <c r="AL9" s="445">
        <f>+'Salaries &amp; Headcount'!AR21</f>
        <v>5218.1957200000006</v>
      </c>
      <c r="AM9" s="445">
        <f>+'Salaries &amp; Headcount'!AS21</f>
        <v>5218.1957200000006</v>
      </c>
      <c r="AN9" s="445">
        <f>+'Salaries &amp; Headcount'!AT21</f>
        <v>5218.1957200000006</v>
      </c>
      <c r="AO9" s="445">
        <f>+'Salaries &amp; Headcount'!AU21</f>
        <v>5218.1957200000006</v>
      </c>
      <c r="AP9" s="445">
        <f>+'Salaries &amp; Headcount'!AV21</f>
        <v>5218.1957200000006</v>
      </c>
      <c r="AQ9" s="445">
        <f>+'Salaries &amp; Headcount'!AW21</f>
        <v>5218.1957200000006</v>
      </c>
      <c r="AR9" s="445">
        <f>+'Salaries &amp; Headcount'!AX21</f>
        <v>5218.1957200000006</v>
      </c>
      <c r="AS9" s="445">
        <f>+'Salaries &amp; Headcount'!AY21</f>
        <v>5218.1957200000006</v>
      </c>
    </row>
    <row r="10" spans="1:45" s="11" customFormat="1" ht="15">
      <c r="A10" s="65"/>
      <c r="B10" s="105" t="s">
        <v>202</v>
      </c>
      <c r="C10" s="441">
        <f>(1100-561)/14</f>
        <v>38.5</v>
      </c>
      <c r="D10" s="463" t="s">
        <v>346</v>
      </c>
      <c r="E10" s="465">
        <f>+C10/'Historicals &amp; Projections'!$D$40</f>
        <v>3.5000000000000001E-3</v>
      </c>
      <c r="F10" s="465">
        <v>3.5000000000000001E-3</v>
      </c>
      <c r="G10" s="465">
        <v>3.5000000000000001E-3</v>
      </c>
      <c r="H10" s="465">
        <v>3.5000000000000001E-3</v>
      </c>
      <c r="I10" s="465">
        <v>3.5000000000000001E-3</v>
      </c>
      <c r="J10" s="445">
        <f>CHOOSE(J$5, $E10, $F10, $G10, $H10, $I10) * 'Revenue &amp; COGS Building'!O$67</f>
        <v>84.583333333333343</v>
      </c>
      <c r="K10" s="445">
        <f>CHOOSE(K$5, $E10, $F10, $G10, $H10, $I10) * 'Revenue &amp; COGS Building'!P$67</f>
        <v>113.37083333333334</v>
      </c>
      <c r="L10" s="445">
        <f>CHOOSE(L$5, $E10, $F10, $G10, $H10, $I10) * 'Revenue &amp; COGS Building'!Q$67</f>
        <v>142.15833333333333</v>
      </c>
      <c r="M10" s="445">
        <f>CHOOSE(M$5, $E10, $F10, $G10, $H10, $I10) * 'Revenue &amp; COGS Building'!R$67</f>
        <v>170.94583333333333</v>
      </c>
      <c r="N10" s="445">
        <f>CHOOSE(N$5, $E10, $F10, $G10, $H10, $I10) * 'Revenue &amp; COGS Building'!S$67</f>
        <v>199.73333333333332</v>
      </c>
      <c r="O10" s="445">
        <f>CHOOSE(O$5, $E10, $F10, $G10, $H10, $I10) * 'Revenue &amp; COGS Building'!T$67</f>
        <v>228.49166666666667</v>
      </c>
      <c r="P10" s="445">
        <f>CHOOSE(P$5, $E10, $F10, $G10, $H10, $I10) * 'Revenue &amp; COGS Building'!U$67</f>
        <v>257.25</v>
      </c>
      <c r="Q10" s="445">
        <f>CHOOSE(Q$5, $E10, $F10, $G10, $H10, $I10) * 'Revenue &amp; COGS Building'!V$67</f>
        <v>286.00833333333338</v>
      </c>
      <c r="R10" s="445">
        <f>CHOOSE(R$5, $E10, $F10, $G10, $H10, $I10) * 'Revenue &amp; COGS Building'!W$67</f>
        <v>314.76666666666665</v>
      </c>
      <c r="S10" s="445">
        <f>CHOOSE(S$5, $E10, $F10, $G10, $H10, $I10) * 'Revenue &amp; COGS Building'!X$67</f>
        <v>343.52500000000003</v>
      </c>
      <c r="T10" s="445">
        <f>CHOOSE(T$5, $E10, $F10, $G10, $H10, $I10) * 'Revenue &amp; COGS Building'!Y$67</f>
        <v>372.28333333333336</v>
      </c>
      <c r="U10" s="445">
        <f>CHOOSE(U$5, $E10, $F10, $G10, $H10, $I10) * 'Revenue &amp; COGS Building'!Z$67</f>
        <v>401.04166666666669</v>
      </c>
      <c r="V10" s="445">
        <f>CHOOSE(V$5, $E10, $F10, $G10, $H10, $I10) * 'Revenue &amp; COGS Building'!AA$67</f>
        <v>684.95</v>
      </c>
      <c r="W10" s="445">
        <f>CHOOSE(W$5, $E10, $F10, $G10, $H10, $I10) * 'Revenue &amp; COGS Building'!AB$67</f>
        <v>743.92500000000007</v>
      </c>
      <c r="X10" s="445">
        <f>CHOOSE(X$5, $E10, $F10, $G10, $H10, $I10) * 'Revenue &amp; COGS Building'!AC$67</f>
        <v>802.9</v>
      </c>
      <c r="Y10" s="445">
        <f>CHOOSE(Y$5, $E10, $F10, $G10, $H10, $I10) * 'Revenue &amp; COGS Building'!AD$67</f>
        <v>861.875</v>
      </c>
      <c r="Z10" s="445">
        <f>CHOOSE(Z$5, $E10, $F10, $G10, $H10, $I10) * 'Revenue &amp; COGS Building'!AE$67</f>
        <v>915.6</v>
      </c>
      <c r="AA10" s="445">
        <f>CHOOSE(AA$5, $E10, $F10, $G10, $H10, $I10) * 'Revenue &amp; COGS Building'!AF$67</f>
        <v>967.22500000000002</v>
      </c>
      <c r="AB10" s="445">
        <f>CHOOSE(AB$5, $E10, $F10, $G10, $H10, $I10) * 'Revenue &amp; COGS Building'!AG$67</f>
        <v>1018.85</v>
      </c>
      <c r="AC10" s="445">
        <f>CHOOSE(AC$5, $E10, $F10, $G10, $H10, $I10) * 'Revenue &amp; COGS Building'!AH$67</f>
        <v>1070.4749999999999</v>
      </c>
      <c r="AD10" s="445">
        <f>CHOOSE(AD$5, $E10, $F10, $G10, $H10, $I10) * 'Revenue &amp; COGS Building'!AI$67</f>
        <v>1122.0708333333334</v>
      </c>
      <c r="AE10" s="445">
        <f>CHOOSE(AE$5, $E10, $F10, $G10, $H10, $I10) * 'Revenue &amp; COGS Building'!AJ$67</f>
        <v>1173.6666666666665</v>
      </c>
      <c r="AF10" s="445">
        <f>CHOOSE(AF$5, $E10, $F10, $G10, $H10, $I10) * 'Revenue &amp; COGS Building'!AK$67</f>
        <v>1225.2625</v>
      </c>
      <c r="AG10" s="445">
        <f>CHOOSE(AG$5, $E10, $F10, $G10, $H10, $I10) * 'Revenue &amp; COGS Building'!AL$67</f>
        <v>1276.8583333333333</v>
      </c>
      <c r="AH10" s="445">
        <f>CHOOSE(AH$5, $E10, $F10, $G10, $H10, $I10) * 'Revenue &amp; COGS Building'!AM$67</f>
        <v>1439.7541666666666</v>
      </c>
      <c r="AI10" s="445">
        <f>CHOOSE(AI$5, $E10, $F10, $G10, $H10, $I10) * 'Revenue &amp; COGS Building'!AN$67</f>
        <v>1507.1875</v>
      </c>
      <c r="AJ10" s="445">
        <f>CHOOSE(AJ$5, $E10, $F10, $G10, $H10, $I10) * 'Revenue &amp; COGS Building'!AO$67</f>
        <v>1574.6208333333334</v>
      </c>
      <c r="AK10" s="445">
        <f>CHOOSE(AK$5, $E10, $F10, $G10, $H10, $I10) * 'Revenue &amp; COGS Building'!AP$67</f>
        <v>1642.0541666666666</v>
      </c>
      <c r="AL10" s="445">
        <f>CHOOSE(AL$5, $E10, $F10, $G10, $H10, $I10) * 'Revenue &amp; COGS Building'!AQ$67</f>
        <v>1709.4875</v>
      </c>
      <c r="AM10" s="445">
        <f>CHOOSE(AM$5, $E10, $F10, $G10, $H10, $I10) * 'Revenue &amp; COGS Building'!AR$67</f>
        <v>1776.9208333333333</v>
      </c>
      <c r="AN10" s="445">
        <f>CHOOSE(AN$5, $E10, $F10, $G10, $H10, $I10) * 'Revenue &amp; COGS Building'!AS$67</f>
        <v>1844.325</v>
      </c>
      <c r="AO10" s="445">
        <f>CHOOSE(AO$5, $E10, $F10, $G10, $H10, $I10) * 'Revenue &amp; COGS Building'!AT$67</f>
        <v>1911.7291666666667</v>
      </c>
      <c r="AP10" s="445">
        <f>CHOOSE(AP$5, $E10, $F10, $G10, $H10, $I10) * 'Revenue &amp; COGS Building'!AU$67</f>
        <v>1979.1333333333332</v>
      </c>
      <c r="AQ10" s="445">
        <f>CHOOSE(AQ$5, $E10, $F10, $G10, $H10, $I10) * 'Revenue &amp; COGS Building'!AV$67</f>
        <v>2046.5375000000001</v>
      </c>
      <c r="AR10" s="445">
        <f>CHOOSE(AR$5, $E10, $F10, $G10, $H10, $I10) * 'Revenue &amp; COGS Building'!AW$67</f>
        <v>2113.9416666666671</v>
      </c>
      <c r="AS10" s="445">
        <f>CHOOSE(AS$5, $E10, $F10, $G10, $H10, $I10) * 'Revenue &amp; COGS Building'!AX$67</f>
        <v>2181.3458333333333</v>
      </c>
    </row>
    <row r="11" spans="1:45" s="11" customFormat="1" ht="15">
      <c r="A11" s="65"/>
      <c r="B11" s="105" t="s">
        <v>204</v>
      </c>
      <c r="C11" s="441">
        <v>85</v>
      </c>
      <c r="D11" s="463" t="s">
        <v>346</v>
      </c>
      <c r="E11" s="465">
        <f>+C11/'Historicals &amp; Projections'!$D$40</f>
        <v>7.7272727272727276E-3</v>
      </c>
      <c r="F11" s="465">
        <v>7.7272727272727276E-3</v>
      </c>
      <c r="G11" s="465">
        <v>7.7272727272727276E-3</v>
      </c>
      <c r="H11" s="465">
        <v>7.7272727272727276E-3</v>
      </c>
      <c r="I11" s="465">
        <v>7.7272727272727276E-3</v>
      </c>
      <c r="J11" s="445">
        <f>CHOOSE(J$5, $E11, $F11, $G11, $H11, $I11) * 'Revenue &amp; COGS Building'!O$67</f>
        <v>186.74242424242425</v>
      </c>
      <c r="K11" s="445">
        <f>CHOOSE(K$5, $E11, $F11, $G11, $H11, $I11) * 'Revenue &amp; COGS Building'!P$67</f>
        <v>250.29924242424244</v>
      </c>
      <c r="L11" s="445">
        <f>CHOOSE(L$5, $E11, $F11, $G11, $H11, $I11) * 'Revenue &amp; COGS Building'!Q$67</f>
        <v>313.85606060606062</v>
      </c>
      <c r="M11" s="445">
        <f>CHOOSE(M$5, $E11, $F11, $G11, $H11, $I11) * 'Revenue &amp; COGS Building'!R$67</f>
        <v>377.41287878787881</v>
      </c>
      <c r="N11" s="445">
        <f>CHOOSE(N$5, $E11, $F11, $G11, $H11, $I11) * 'Revenue &amp; COGS Building'!S$67</f>
        <v>440.969696969697</v>
      </c>
      <c r="O11" s="445">
        <f>CHOOSE(O$5, $E11, $F11, $G11, $H11, $I11) * 'Revenue &amp; COGS Building'!T$67</f>
        <v>504.46212121212125</v>
      </c>
      <c r="P11" s="445">
        <f>CHOOSE(P$5, $E11, $F11, $G11, $H11, $I11) * 'Revenue &amp; COGS Building'!U$67</f>
        <v>567.9545454545455</v>
      </c>
      <c r="Q11" s="445">
        <f>CHOOSE(Q$5, $E11, $F11, $G11, $H11, $I11) * 'Revenue &amp; COGS Building'!V$67</f>
        <v>631.44696969696975</v>
      </c>
      <c r="R11" s="445">
        <f>CHOOSE(R$5, $E11, $F11, $G11, $H11, $I11) * 'Revenue &amp; COGS Building'!W$67</f>
        <v>694.93939393939388</v>
      </c>
      <c r="S11" s="445">
        <f>CHOOSE(S$5, $E11, $F11, $G11, $H11, $I11) * 'Revenue &amp; COGS Building'!X$67</f>
        <v>758.43181818181824</v>
      </c>
      <c r="T11" s="445">
        <f>CHOOSE(T$5, $E11, $F11, $G11, $H11, $I11) * 'Revenue &amp; COGS Building'!Y$67</f>
        <v>821.92424242424249</v>
      </c>
      <c r="U11" s="445">
        <f>CHOOSE(U$5, $E11, $F11, $G11, $H11, $I11) * 'Revenue &amp; COGS Building'!Z$67</f>
        <v>885.41666666666663</v>
      </c>
      <c r="V11" s="445">
        <f>CHOOSE(V$5, $E11, $F11, $G11, $H11, $I11) * 'Revenue &amp; COGS Building'!AA$67</f>
        <v>1512.2272727272727</v>
      </c>
      <c r="W11" s="445">
        <f>CHOOSE(W$5, $E11, $F11, $G11, $H11, $I11) * 'Revenue &amp; COGS Building'!AB$67</f>
        <v>1642.4318181818182</v>
      </c>
      <c r="X11" s="445">
        <f>CHOOSE(X$5, $E11, $F11, $G11, $H11, $I11) * 'Revenue &amp; COGS Building'!AC$67</f>
        <v>1772.6363636363637</v>
      </c>
      <c r="Y11" s="445">
        <f>CHOOSE(Y$5, $E11, $F11, $G11, $H11, $I11) * 'Revenue &amp; COGS Building'!AD$67</f>
        <v>1902.8409090909092</v>
      </c>
      <c r="Z11" s="445">
        <f>CHOOSE(Z$5, $E11, $F11, $G11, $H11, $I11) * 'Revenue &amp; COGS Building'!AE$67</f>
        <v>2021.4545454545455</v>
      </c>
      <c r="AA11" s="445">
        <f>CHOOSE(AA$5, $E11, $F11, $G11, $H11, $I11) * 'Revenue &amp; COGS Building'!AF$67</f>
        <v>2135.4318181818185</v>
      </c>
      <c r="AB11" s="445">
        <f>CHOOSE(AB$5, $E11, $F11, $G11, $H11, $I11) * 'Revenue &amp; COGS Building'!AG$67</f>
        <v>2249.409090909091</v>
      </c>
      <c r="AC11" s="445">
        <f>CHOOSE(AC$5, $E11, $F11, $G11, $H11, $I11) * 'Revenue &amp; COGS Building'!AH$67</f>
        <v>2363.3863636363635</v>
      </c>
      <c r="AD11" s="445">
        <f>CHOOSE(AD$5, $E11, $F11, $G11, $H11, $I11) * 'Revenue &amp; COGS Building'!AI$67</f>
        <v>2477.2992424242425</v>
      </c>
      <c r="AE11" s="445">
        <f>CHOOSE(AE$5, $E11, $F11, $G11, $H11, $I11) * 'Revenue &amp; COGS Building'!AJ$67</f>
        <v>2591.212121212121</v>
      </c>
      <c r="AF11" s="445">
        <f>CHOOSE(AF$5, $E11, $F11, $G11, $H11, $I11) * 'Revenue &amp; COGS Building'!AK$67</f>
        <v>2705.125</v>
      </c>
      <c r="AG11" s="445">
        <f>CHOOSE(AG$5, $E11, $F11, $G11, $H11, $I11) * 'Revenue &amp; COGS Building'!AL$67</f>
        <v>2819.037878787879</v>
      </c>
      <c r="AH11" s="445">
        <f>CHOOSE(AH$5, $E11, $F11, $G11, $H11, $I11) * 'Revenue &amp; COGS Building'!AM$67</f>
        <v>3178.6780303030305</v>
      </c>
      <c r="AI11" s="445">
        <f>CHOOSE(AI$5, $E11, $F11, $G11, $H11, $I11) * 'Revenue &amp; COGS Building'!AN$67</f>
        <v>3327.5568181818185</v>
      </c>
      <c r="AJ11" s="445">
        <f>CHOOSE(AJ$5, $E11, $F11, $G11, $H11, $I11) * 'Revenue &amp; COGS Building'!AO$67</f>
        <v>3476.4356060606065</v>
      </c>
      <c r="AK11" s="445">
        <f>CHOOSE(AK$5, $E11, $F11, $G11, $H11, $I11) * 'Revenue &amp; COGS Building'!AP$67</f>
        <v>3625.314393939394</v>
      </c>
      <c r="AL11" s="445">
        <f>CHOOSE(AL$5, $E11, $F11, $G11, $H11, $I11) * 'Revenue &amp; COGS Building'!AQ$67</f>
        <v>3774.193181818182</v>
      </c>
      <c r="AM11" s="445">
        <f>CHOOSE(AM$5, $E11, $F11, $G11, $H11, $I11) * 'Revenue &amp; COGS Building'!AR$67</f>
        <v>3923.07196969697</v>
      </c>
      <c r="AN11" s="445">
        <f>CHOOSE(AN$5, $E11, $F11, $G11, $H11, $I11) * 'Revenue &amp; COGS Building'!AS$67</f>
        <v>4071.886363636364</v>
      </c>
      <c r="AO11" s="445">
        <f>CHOOSE(AO$5, $E11, $F11, $G11, $H11, $I11) * 'Revenue &amp; COGS Building'!AT$67</f>
        <v>4220.700757575758</v>
      </c>
      <c r="AP11" s="445">
        <f>CHOOSE(AP$5, $E11, $F11, $G11, $H11, $I11) * 'Revenue &amp; COGS Building'!AU$67</f>
        <v>4369.515151515151</v>
      </c>
      <c r="AQ11" s="445">
        <f>CHOOSE(AQ$5, $E11, $F11, $G11, $H11, $I11) * 'Revenue &amp; COGS Building'!AV$67</f>
        <v>4518.329545454546</v>
      </c>
      <c r="AR11" s="445">
        <f>CHOOSE(AR$5, $E11, $F11, $G11, $H11, $I11) * 'Revenue &amp; COGS Building'!AW$67</f>
        <v>4667.1439393939399</v>
      </c>
      <c r="AS11" s="445">
        <f>CHOOSE(AS$5, $E11, $F11, $G11, $H11, $I11) * 'Revenue &amp; COGS Building'!AX$67</f>
        <v>4815.958333333333</v>
      </c>
    </row>
    <row r="12" spans="1:45" s="11" customFormat="1" ht="15">
      <c r="A12" s="65"/>
      <c r="B12" s="105" t="s">
        <v>203</v>
      </c>
      <c r="C12" s="441">
        <f t="shared" ref="C12:C22" si="1">(1100-561)/14</f>
        <v>38.5</v>
      </c>
      <c r="D12" s="463" t="s">
        <v>346</v>
      </c>
      <c r="E12" s="465">
        <f>+C12/'Historicals &amp; Projections'!$D$40</f>
        <v>3.5000000000000001E-3</v>
      </c>
      <c r="F12" s="465">
        <v>3.5000000000000001E-3</v>
      </c>
      <c r="G12" s="465">
        <v>3.5000000000000001E-3</v>
      </c>
      <c r="H12" s="465">
        <v>3.5000000000000001E-3</v>
      </c>
      <c r="I12" s="465">
        <v>3.5000000000000001E-3</v>
      </c>
      <c r="J12" s="445">
        <f>CHOOSE(J$5, $E12, $F12, $G12, $H12, $I12) * 'Revenue &amp; COGS Building'!O$67</f>
        <v>84.583333333333343</v>
      </c>
      <c r="K12" s="445">
        <f>CHOOSE(K$5, $E12, $F12, $G12, $H12, $I12) * 'Revenue &amp; COGS Building'!P$67</f>
        <v>113.37083333333334</v>
      </c>
      <c r="L12" s="445">
        <f>CHOOSE(L$5, $E12, $F12, $G12, $H12, $I12) * 'Revenue &amp; COGS Building'!Q$67</f>
        <v>142.15833333333333</v>
      </c>
      <c r="M12" s="445">
        <f>CHOOSE(M$5, $E12, $F12, $G12, $H12, $I12) * 'Revenue &amp; COGS Building'!R$67</f>
        <v>170.94583333333333</v>
      </c>
      <c r="N12" s="445">
        <f>CHOOSE(N$5, $E12, $F12, $G12, $H12, $I12) * 'Revenue &amp; COGS Building'!S$67</f>
        <v>199.73333333333332</v>
      </c>
      <c r="O12" s="445">
        <f>CHOOSE(O$5, $E12, $F12, $G12, $H12, $I12) * 'Revenue &amp; COGS Building'!T$67</f>
        <v>228.49166666666667</v>
      </c>
      <c r="P12" s="445">
        <f>CHOOSE(P$5, $E12, $F12, $G12, $H12, $I12) * 'Revenue &amp; COGS Building'!U$67</f>
        <v>257.25</v>
      </c>
      <c r="Q12" s="445">
        <f>CHOOSE(Q$5, $E12, $F12, $G12, $H12, $I12) * 'Revenue &amp; COGS Building'!V$67</f>
        <v>286.00833333333338</v>
      </c>
      <c r="R12" s="445">
        <f>CHOOSE(R$5, $E12, $F12, $G12, $H12, $I12) * 'Revenue &amp; COGS Building'!W$67</f>
        <v>314.76666666666665</v>
      </c>
      <c r="S12" s="445">
        <f>CHOOSE(S$5, $E12, $F12, $G12, $H12, $I12) * 'Revenue &amp; COGS Building'!X$67</f>
        <v>343.52500000000003</v>
      </c>
      <c r="T12" s="445">
        <f>CHOOSE(T$5, $E12, $F12, $G12, $H12, $I12) * 'Revenue &amp; COGS Building'!Y$67</f>
        <v>372.28333333333336</v>
      </c>
      <c r="U12" s="445">
        <f>CHOOSE(U$5, $E12, $F12, $G12, $H12, $I12) * 'Revenue &amp; COGS Building'!Z$67</f>
        <v>401.04166666666669</v>
      </c>
      <c r="V12" s="445">
        <f>CHOOSE(V$5, $E12, $F12, $G12, $H12, $I12) * 'Revenue &amp; COGS Building'!AA$67</f>
        <v>684.95</v>
      </c>
      <c r="W12" s="445">
        <f>CHOOSE(W$5, $E12, $F12, $G12, $H12, $I12) * 'Revenue &amp; COGS Building'!AB$67</f>
        <v>743.92500000000007</v>
      </c>
      <c r="X12" s="445">
        <f>CHOOSE(X$5, $E12, $F12, $G12, $H12, $I12) * 'Revenue &amp; COGS Building'!AC$67</f>
        <v>802.9</v>
      </c>
      <c r="Y12" s="445">
        <f>CHOOSE(Y$5, $E12, $F12, $G12, $H12, $I12) * 'Revenue &amp; COGS Building'!AD$67</f>
        <v>861.875</v>
      </c>
      <c r="Z12" s="445">
        <f>CHOOSE(Z$5, $E12, $F12, $G12, $H12, $I12) * 'Revenue &amp; COGS Building'!AE$67</f>
        <v>915.6</v>
      </c>
      <c r="AA12" s="445">
        <f>CHOOSE(AA$5, $E12, $F12, $G12, $H12, $I12) * 'Revenue &amp; COGS Building'!AF$67</f>
        <v>967.22500000000002</v>
      </c>
      <c r="AB12" s="445">
        <f>CHOOSE(AB$5, $E12, $F12, $G12, $H12, $I12) * 'Revenue &amp; COGS Building'!AG$67</f>
        <v>1018.85</v>
      </c>
      <c r="AC12" s="445">
        <f>CHOOSE(AC$5, $E12, $F12, $G12, $H12, $I12) * 'Revenue &amp; COGS Building'!AH$67</f>
        <v>1070.4749999999999</v>
      </c>
      <c r="AD12" s="445">
        <f>CHOOSE(AD$5, $E12, $F12, $G12, $H12, $I12) * 'Revenue &amp; COGS Building'!AI$67</f>
        <v>1122.0708333333334</v>
      </c>
      <c r="AE12" s="445">
        <f>CHOOSE(AE$5, $E12, $F12, $G12, $H12, $I12) * 'Revenue &amp; COGS Building'!AJ$67</f>
        <v>1173.6666666666665</v>
      </c>
      <c r="AF12" s="445">
        <f>CHOOSE(AF$5, $E12, $F12, $G12, $H12, $I12) * 'Revenue &amp; COGS Building'!AK$67</f>
        <v>1225.2625</v>
      </c>
      <c r="AG12" s="445">
        <f>CHOOSE(AG$5, $E12, $F12, $G12, $H12, $I12) * 'Revenue &amp; COGS Building'!AL$67</f>
        <v>1276.8583333333333</v>
      </c>
      <c r="AH12" s="445">
        <f>CHOOSE(AH$5, $E12, $F12, $G12, $H12, $I12) * 'Revenue &amp; COGS Building'!AM$67</f>
        <v>1439.7541666666666</v>
      </c>
      <c r="AI12" s="445">
        <f>CHOOSE(AI$5, $E12, $F12, $G12, $H12, $I12) * 'Revenue &amp; COGS Building'!AN$67</f>
        <v>1507.1875</v>
      </c>
      <c r="AJ12" s="445">
        <f>CHOOSE(AJ$5, $E12, $F12, $G12, $H12, $I12) * 'Revenue &amp; COGS Building'!AO$67</f>
        <v>1574.6208333333334</v>
      </c>
      <c r="AK12" s="445">
        <f>CHOOSE(AK$5, $E12, $F12, $G12, $H12, $I12) * 'Revenue &amp; COGS Building'!AP$67</f>
        <v>1642.0541666666666</v>
      </c>
      <c r="AL12" s="445">
        <f>CHOOSE(AL$5, $E12, $F12, $G12, $H12, $I12) * 'Revenue &amp; COGS Building'!AQ$67</f>
        <v>1709.4875</v>
      </c>
      <c r="AM12" s="445">
        <f>CHOOSE(AM$5, $E12, $F12, $G12, $H12, $I12) * 'Revenue &amp; COGS Building'!AR$67</f>
        <v>1776.9208333333333</v>
      </c>
      <c r="AN12" s="445">
        <f>CHOOSE(AN$5, $E12, $F12, $G12, $H12, $I12) * 'Revenue &amp; COGS Building'!AS$67</f>
        <v>1844.325</v>
      </c>
      <c r="AO12" s="445">
        <f>CHOOSE(AO$5, $E12, $F12, $G12, $H12, $I12) * 'Revenue &amp; COGS Building'!AT$67</f>
        <v>1911.7291666666667</v>
      </c>
      <c r="AP12" s="445">
        <f>CHOOSE(AP$5, $E12, $F12, $G12, $H12, $I12) * 'Revenue &amp; COGS Building'!AU$67</f>
        <v>1979.1333333333332</v>
      </c>
      <c r="AQ12" s="445">
        <f>CHOOSE(AQ$5, $E12, $F12, $G12, $H12, $I12) * 'Revenue &amp; COGS Building'!AV$67</f>
        <v>2046.5375000000001</v>
      </c>
      <c r="AR12" s="445">
        <f>CHOOSE(AR$5, $E12, $F12, $G12, $H12, $I12) * 'Revenue &amp; COGS Building'!AW$67</f>
        <v>2113.9416666666671</v>
      </c>
      <c r="AS12" s="445">
        <f>CHOOSE(AS$5, $E12, $F12, $G12, $H12, $I12) * 'Revenue &amp; COGS Building'!AX$67</f>
        <v>2181.3458333333333</v>
      </c>
    </row>
    <row r="13" spans="1:45" s="11" customFormat="1" ht="15">
      <c r="A13" s="65"/>
      <c r="B13" s="105" t="s">
        <v>205</v>
      </c>
      <c r="C13" s="441">
        <v>48</v>
      </c>
      <c r="D13" s="463" t="s">
        <v>346</v>
      </c>
      <c r="E13" s="465">
        <f>+C13/'Historicals &amp; Projections'!$D$40</f>
        <v>4.3636363636363638E-3</v>
      </c>
      <c r="F13" s="465">
        <v>4.3636363636363638E-3</v>
      </c>
      <c r="G13" s="465">
        <v>4.3636363636363638E-3</v>
      </c>
      <c r="H13" s="465">
        <v>4.3636363636363638E-3</v>
      </c>
      <c r="I13" s="465">
        <v>4.3636363636363638E-3</v>
      </c>
      <c r="J13" s="445">
        <f>CHOOSE(J$5, $E13, $F13, $G13, $H13, $I13) * 'Revenue &amp; COGS Building'!O$67</f>
        <v>105.45454545454547</v>
      </c>
      <c r="K13" s="445">
        <f>CHOOSE(K$5, $E13, $F13, $G13, $H13, $I13) * 'Revenue &amp; COGS Building'!P$67</f>
        <v>141.34545454545454</v>
      </c>
      <c r="L13" s="445">
        <f>CHOOSE(L$5, $E13, $F13, $G13, $H13, $I13) * 'Revenue &amp; COGS Building'!Q$67</f>
        <v>177.23636363636362</v>
      </c>
      <c r="M13" s="445">
        <f>CHOOSE(M$5, $E13, $F13, $G13, $H13, $I13) * 'Revenue &amp; COGS Building'!R$67</f>
        <v>213.12727272727273</v>
      </c>
      <c r="N13" s="445">
        <f>CHOOSE(N$5, $E13, $F13, $G13, $H13, $I13) * 'Revenue &amp; COGS Building'!S$67</f>
        <v>249.01818181818183</v>
      </c>
      <c r="O13" s="445">
        <f>CHOOSE(O$5, $E13, $F13, $G13, $H13, $I13) * 'Revenue &amp; COGS Building'!T$67</f>
        <v>284.87272727272727</v>
      </c>
      <c r="P13" s="445">
        <f>CHOOSE(P$5, $E13, $F13, $G13, $H13, $I13) * 'Revenue &amp; COGS Building'!U$67</f>
        <v>320.72727272727275</v>
      </c>
      <c r="Q13" s="445">
        <f>CHOOSE(Q$5, $E13, $F13, $G13, $H13, $I13) * 'Revenue &amp; COGS Building'!V$67</f>
        <v>356.58181818181822</v>
      </c>
      <c r="R13" s="445">
        <f>CHOOSE(R$5, $E13, $F13, $G13, $H13, $I13) * 'Revenue &amp; COGS Building'!W$67</f>
        <v>392.43636363636364</v>
      </c>
      <c r="S13" s="445">
        <f>CHOOSE(S$5, $E13, $F13, $G13, $H13, $I13) * 'Revenue &amp; COGS Building'!X$67</f>
        <v>428.29090909090911</v>
      </c>
      <c r="T13" s="445">
        <f>CHOOSE(T$5, $E13, $F13, $G13, $H13, $I13) * 'Revenue &amp; COGS Building'!Y$67</f>
        <v>464.14545454545458</v>
      </c>
      <c r="U13" s="445">
        <f>CHOOSE(U$5, $E13, $F13, $G13, $H13, $I13) * 'Revenue &amp; COGS Building'!Z$67</f>
        <v>500</v>
      </c>
      <c r="V13" s="445">
        <f>CHOOSE(V$5, $E13, $F13, $G13, $H13, $I13) * 'Revenue &amp; COGS Building'!AA$67</f>
        <v>853.9636363636364</v>
      </c>
      <c r="W13" s="445">
        <f>CHOOSE(W$5, $E13, $F13, $G13, $H13, $I13) * 'Revenue &amp; COGS Building'!AB$67</f>
        <v>927.4909090909091</v>
      </c>
      <c r="X13" s="445">
        <f>CHOOSE(X$5, $E13, $F13, $G13, $H13, $I13) * 'Revenue &amp; COGS Building'!AC$67</f>
        <v>1001.0181818181818</v>
      </c>
      <c r="Y13" s="445">
        <f>CHOOSE(Y$5, $E13, $F13, $G13, $H13, $I13) * 'Revenue &amp; COGS Building'!AD$67</f>
        <v>1074.5454545454545</v>
      </c>
      <c r="Z13" s="445">
        <f>CHOOSE(Z$5, $E13, $F13, $G13, $H13, $I13) * 'Revenue &amp; COGS Building'!AE$67</f>
        <v>1141.5272727272727</v>
      </c>
      <c r="AA13" s="445">
        <f>CHOOSE(AA$5, $E13, $F13, $G13, $H13, $I13) * 'Revenue &amp; COGS Building'!AF$67</f>
        <v>1205.8909090909092</v>
      </c>
      <c r="AB13" s="445">
        <f>CHOOSE(AB$5, $E13, $F13, $G13, $H13, $I13) * 'Revenue &amp; COGS Building'!AG$67</f>
        <v>1270.2545454545455</v>
      </c>
      <c r="AC13" s="445">
        <f>CHOOSE(AC$5, $E13, $F13, $G13, $H13, $I13) * 'Revenue &amp; COGS Building'!AH$67</f>
        <v>1334.6181818181819</v>
      </c>
      <c r="AD13" s="445">
        <f>CHOOSE(AD$5, $E13, $F13, $G13, $H13, $I13) * 'Revenue &amp; COGS Building'!AI$67</f>
        <v>1398.9454545454546</v>
      </c>
      <c r="AE13" s="445">
        <f>CHOOSE(AE$5, $E13, $F13, $G13, $H13, $I13) * 'Revenue &amp; COGS Building'!AJ$67</f>
        <v>1463.2727272727273</v>
      </c>
      <c r="AF13" s="445">
        <f>CHOOSE(AF$5, $E13, $F13, $G13, $H13, $I13) * 'Revenue &amp; COGS Building'!AK$67</f>
        <v>1527.6000000000001</v>
      </c>
      <c r="AG13" s="445">
        <f>CHOOSE(AG$5, $E13, $F13, $G13, $H13, $I13) * 'Revenue &amp; COGS Building'!AL$67</f>
        <v>1591.9272727272728</v>
      </c>
      <c r="AH13" s="445">
        <f>CHOOSE(AH$5, $E13, $F13, $G13, $H13, $I13) * 'Revenue &amp; COGS Building'!AM$67</f>
        <v>1795.0181818181818</v>
      </c>
      <c r="AI13" s="445">
        <f>CHOOSE(AI$5, $E13, $F13, $G13, $H13, $I13) * 'Revenue &amp; COGS Building'!AN$67</f>
        <v>1879.0909090909092</v>
      </c>
      <c r="AJ13" s="445">
        <f>CHOOSE(AJ$5, $E13, $F13, $G13, $H13, $I13) * 'Revenue &amp; COGS Building'!AO$67</f>
        <v>1963.1636363636364</v>
      </c>
      <c r="AK13" s="445">
        <f>CHOOSE(AK$5, $E13, $F13, $G13, $H13, $I13) * 'Revenue &amp; COGS Building'!AP$67</f>
        <v>2047.2363636363636</v>
      </c>
      <c r="AL13" s="445">
        <f>CHOOSE(AL$5, $E13, $F13, $G13, $H13, $I13) * 'Revenue &amp; COGS Building'!AQ$67</f>
        <v>2131.3090909090911</v>
      </c>
      <c r="AM13" s="445">
        <f>CHOOSE(AM$5, $E13, $F13, $G13, $H13, $I13) * 'Revenue &amp; COGS Building'!AR$67</f>
        <v>2215.3818181818183</v>
      </c>
      <c r="AN13" s="445">
        <f>CHOOSE(AN$5, $E13, $F13, $G13, $H13, $I13) * 'Revenue &amp; COGS Building'!AS$67</f>
        <v>2299.4181818181819</v>
      </c>
      <c r="AO13" s="445">
        <f>CHOOSE(AO$5, $E13, $F13, $G13, $H13, $I13) * 'Revenue &amp; COGS Building'!AT$67</f>
        <v>2383.4545454545455</v>
      </c>
      <c r="AP13" s="445">
        <f>CHOOSE(AP$5, $E13, $F13, $G13, $H13, $I13) * 'Revenue &amp; COGS Building'!AU$67</f>
        <v>2467.4909090909091</v>
      </c>
      <c r="AQ13" s="445">
        <f>CHOOSE(AQ$5, $E13, $F13, $G13, $H13, $I13) * 'Revenue &amp; COGS Building'!AV$67</f>
        <v>2551.5272727272727</v>
      </c>
      <c r="AR13" s="445">
        <f>CHOOSE(AR$5, $E13, $F13, $G13, $H13, $I13) * 'Revenue &amp; COGS Building'!AW$67</f>
        <v>2635.5636363636368</v>
      </c>
      <c r="AS13" s="445">
        <f>CHOOSE(AS$5, $E13, $F13, $G13, $H13, $I13) * 'Revenue &amp; COGS Building'!AX$67</f>
        <v>2719.6</v>
      </c>
    </row>
    <row r="14" spans="1:45" s="11" customFormat="1" ht="15">
      <c r="A14" s="65"/>
      <c r="B14" s="105" t="s">
        <v>263</v>
      </c>
      <c r="C14" s="441">
        <f>(1100-561)/14</f>
        <v>38.5</v>
      </c>
      <c r="D14" s="463" t="s">
        <v>346</v>
      </c>
      <c r="E14" s="465">
        <f>+C14/'Historicals &amp; Projections'!$D$40</f>
        <v>3.5000000000000001E-3</v>
      </c>
      <c r="F14" s="465">
        <v>3.5000000000000001E-3</v>
      </c>
      <c r="G14" s="465">
        <v>3.5000000000000001E-3</v>
      </c>
      <c r="H14" s="465">
        <v>3.5000000000000001E-3</v>
      </c>
      <c r="I14" s="465">
        <v>3.5000000000000001E-3</v>
      </c>
      <c r="J14" s="445">
        <f>CHOOSE(J$5, $E14, $F14, $G14, $H14, $I14) * 'Revenue &amp; COGS Building'!O$67</f>
        <v>84.583333333333343</v>
      </c>
      <c r="K14" s="445">
        <f>CHOOSE(K$5, $E14, $F14, $G14, $H14, $I14) * 'Revenue &amp; COGS Building'!P$67</f>
        <v>113.37083333333334</v>
      </c>
      <c r="L14" s="445">
        <f>CHOOSE(L$5, $E14, $F14, $G14, $H14, $I14) * 'Revenue &amp; COGS Building'!Q$67</f>
        <v>142.15833333333333</v>
      </c>
      <c r="M14" s="445">
        <f>CHOOSE(M$5, $E14, $F14, $G14, $H14, $I14) * 'Revenue &amp; COGS Building'!R$67</f>
        <v>170.94583333333333</v>
      </c>
      <c r="N14" s="445">
        <f>CHOOSE(N$5, $E14, $F14, $G14, $H14, $I14) * 'Revenue &amp; COGS Building'!S$67</f>
        <v>199.73333333333332</v>
      </c>
      <c r="O14" s="445">
        <f>CHOOSE(O$5, $E14, $F14, $G14, $H14, $I14) * 'Revenue &amp; COGS Building'!T$67</f>
        <v>228.49166666666667</v>
      </c>
      <c r="P14" s="445">
        <f>CHOOSE(P$5, $E14, $F14, $G14, $H14, $I14) * 'Revenue &amp; COGS Building'!U$67</f>
        <v>257.25</v>
      </c>
      <c r="Q14" s="445">
        <f>CHOOSE(Q$5, $E14, $F14, $G14, $H14, $I14) * 'Revenue &amp; COGS Building'!V$67</f>
        <v>286.00833333333338</v>
      </c>
      <c r="R14" s="445">
        <f>CHOOSE(R$5, $E14, $F14, $G14, $H14, $I14) * 'Revenue &amp; COGS Building'!W$67</f>
        <v>314.76666666666665</v>
      </c>
      <c r="S14" s="445">
        <f>CHOOSE(S$5, $E14, $F14, $G14, $H14, $I14) * 'Revenue &amp; COGS Building'!X$67</f>
        <v>343.52500000000003</v>
      </c>
      <c r="T14" s="445">
        <f>CHOOSE(T$5, $E14, $F14, $G14, $H14, $I14) * 'Revenue &amp; COGS Building'!Y$67</f>
        <v>372.28333333333336</v>
      </c>
      <c r="U14" s="445">
        <f>CHOOSE(U$5, $E14, $F14, $G14, $H14, $I14) * 'Revenue &amp; COGS Building'!Z$67</f>
        <v>401.04166666666669</v>
      </c>
      <c r="V14" s="445">
        <f>CHOOSE(V$5, $E14, $F14, $G14, $H14, $I14) * 'Revenue &amp; COGS Building'!AA$67</f>
        <v>684.95</v>
      </c>
      <c r="W14" s="445">
        <f>CHOOSE(W$5, $E14, $F14, $G14, $H14, $I14) * 'Revenue &amp; COGS Building'!AB$67</f>
        <v>743.92500000000007</v>
      </c>
      <c r="X14" s="445">
        <f>CHOOSE(X$5, $E14, $F14, $G14, $H14, $I14) * 'Revenue &amp; COGS Building'!AC$67</f>
        <v>802.9</v>
      </c>
      <c r="Y14" s="445">
        <f>CHOOSE(Y$5, $E14, $F14, $G14, $H14, $I14) * 'Revenue &amp; COGS Building'!AD$67</f>
        <v>861.875</v>
      </c>
      <c r="Z14" s="445">
        <f>CHOOSE(Z$5, $E14, $F14, $G14, $H14, $I14) * 'Revenue &amp; COGS Building'!AE$67</f>
        <v>915.6</v>
      </c>
      <c r="AA14" s="445">
        <f>CHOOSE(AA$5, $E14, $F14, $G14, $H14, $I14) * 'Revenue &amp; COGS Building'!AF$67</f>
        <v>967.22500000000002</v>
      </c>
      <c r="AB14" s="445">
        <f>CHOOSE(AB$5, $E14, $F14, $G14, $H14, $I14) * 'Revenue &amp; COGS Building'!AG$67</f>
        <v>1018.85</v>
      </c>
      <c r="AC14" s="445">
        <f>CHOOSE(AC$5, $E14, $F14, $G14, $H14, $I14) * 'Revenue &amp; COGS Building'!AH$67</f>
        <v>1070.4749999999999</v>
      </c>
      <c r="AD14" s="445">
        <f>CHOOSE(AD$5, $E14, $F14, $G14, $H14, $I14) * 'Revenue &amp; COGS Building'!AI$67</f>
        <v>1122.0708333333334</v>
      </c>
      <c r="AE14" s="445">
        <f>CHOOSE(AE$5, $E14, $F14, $G14, $H14, $I14) * 'Revenue &amp; COGS Building'!AJ$67</f>
        <v>1173.6666666666665</v>
      </c>
      <c r="AF14" s="445">
        <f>CHOOSE(AF$5, $E14, $F14, $G14, $H14, $I14) * 'Revenue &amp; COGS Building'!AK$67</f>
        <v>1225.2625</v>
      </c>
      <c r="AG14" s="445">
        <f>CHOOSE(AG$5, $E14, $F14, $G14, $H14, $I14) * 'Revenue &amp; COGS Building'!AL$67</f>
        <v>1276.8583333333333</v>
      </c>
      <c r="AH14" s="445">
        <f>CHOOSE(AH$5, $E14, $F14, $G14, $H14, $I14) * 'Revenue &amp; COGS Building'!AM$67</f>
        <v>1439.7541666666666</v>
      </c>
      <c r="AI14" s="445">
        <f>CHOOSE(AI$5, $E14, $F14, $G14, $H14, $I14) * 'Revenue &amp; COGS Building'!AN$67</f>
        <v>1507.1875</v>
      </c>
      <c r="AJ14" s="445">
        <f>CHOOSE(AJ$5, $E14, $F14, $G14, $H14, $I14) * 'Revenue &amp; COGS Building'!AO$67</f>
        <v>1574.6208333333334</v>
      </c>
      <c r="AK14" s="445">
        <f>CHOOSE(AK$5, $E14, $F14, $G14, $H14, $I14) * 'Revenue &amp; COGS Building'!AP$67</f>
        <v>1642.0541666666666</v>
      </c>
      <c r="AL14" s="445">
        <f>CHOOSE(AL$5, $E14, $F14, $G14, $H14, $I14) * 'Revenue &amp; COGS Building'!AQ$67</f>
        <v>1709.4875</v>
      </c>
      <c r="AM14" s="445">
        <f>CHOOSE(AM$5, $E14, $F14, $G14, $H14, $I14) * 'Revenue &amp; COGS Building'!AR$67</f>
        <v>1776.9208333333333</v>
      </c>
      <c r="AN14" s="445">
        <f>CHOOSE(AN$5, $E14, $F14, $G14, $H14, $I14) * 'Revenue &amp; COGS Building'!AS$67</f>
        <v>1844.325</v>
      </c>
      <c r="AO14" s="445">
        <f>CHOOSE(AO$5, $E14, $F14, $G14, $H14, $I14) * 'Revenue &amp; COGS Building'!AT$67</f>
        <v>1911.7291666666667</v>
      </c>
      <c r="AP14" s="445">
        <f>CHOOSE(AP$5, $E14, $F14, $G14, $H14, $I14) * 'Revenue &amp; COGS Building'!AU$67</f>
        <v>1979.1333333333332</v>
      </c>
      <c r="AQ14" s="445">
        <f>CHOOSE(AQ$5, $E14, $F14, $G14, $H14, $I14) * 'Revenue &amp; COGS Building'!AV$67</f>
        <v>2046.5375000000001</v>
      </c>
      <c r="AR14" s="445">
        <f>CHOOSE(AR$5, $E14, $F14, $G14, $H14, $I14) * 'Revenue &amp; COGS Building'!AW$67</f>
        <v>2113.9416666666671</v>
      </c>
      <c r="AS14" s="445">
        <f>CHOOSE(AS$5, $E14, $F14, $G14, $H14, $I14) * 'Revenue &amp; COGS Building'!AX$67</f>
        <v>2181.3458333333333</v>
      </c>
    </row>
    <row r="15" spans="1:45" s="11" customFormat="1" ht="15">
      <c r="A15" s="65"/>
      <c r="B15" s="105" t="s">
        <v>85</v>
      </c>
      <c r="C15" s="441">
        <v>76</v>
      </c>
      <c r="D15" s="463" t="s">
        <v>346</v>
      </c>
      <c r="E15" s="465">
        <f>+C15/'Historicals &amp; Projections'!$D$40</f>
        <v>6.909090909090909E-3</v>
      </c>
      <c r="F15" s="465">
        <v>6.909090909090909E-3</v>
      </c>
      <c r="G15" s="465">
        <v>6.909090909090909E-3</v>
      </c>
      <c r="H15" s="465">
        <v>6.909090909090909E-3</v>
      </c>
      <c r="I15" s="465">
        <v>6.909090909090909E-3</v>
      </c>
      <c r="J15" s="445">
        <f>CHOOSE(J$5, $E15, $F15, $G15, $H15, $I15) * 'Revenue &amp; COGS Building'!O$67</f>
        <v>166.96969696969697</v>
      </c>
      <c r="K15" s="445">
        <f>CHOOSE(K$5, $E15, $F15, $G15, $H15, $I15) * 'Revenue &amp; COGS Building'!P$67</f>
        <v>223.79696969696971</v>
      </c>
      <c r="L15" s="445">
        <f>CHOOSE(L$5, $E15, $F15, $G15, $H15, $I15) * 'Revenue &amp; COGS Building'!Q$67</f>
        <v>280.62424242424242</v>
      </c>
      <c r="M15" s="445">
        <f>CHOOSE(M$5, $E15, $F15, $G15, $H15, $I15) * 'Revenue &amp; COGS Building'!R$67</f>
        <v>337.45151515151514</v>
      </c>
      <c r="N15" s="445">
        <f>CHOOSE(N$5, $E15, $F15, $G15, $H15, $I15) * 'Revenue &amp; COGS Building'!S$67</f>
        <v>394.27878787878785</v>
      </c>
      <c r="O15" s="445">
        <f>CHOOSE(O$5, $E15, $F15, $G15, $H15, $I15) * 'Revenue &amp; COGS Building'!T$67</f>
        <v>451.04848484848486</v>
      </c>
      <c r="P15" s="445">
        <f>CHOOSE(P$5, $E15, $F15, $G15, $H15, $I15) * 'Revenue &amp; COGS Building'!U$67</f>
        <v>507.81818181818181</v>
      </c>
      <c r="Q15" s="445">
        <f>CHOOSE(Q$5, $E15, $F15, $G15, $H15, $I15) * 'Revenue &amp; COGS Building'!V$67</f>
        <v>564.58787878787882</v>
      </c>
      <c r="R15" s="445">
        <f>CHOOSE(R$5, $E15, $F15, $G15, $H15, $I15) * 'Revenue &amp; COGS Building'!W$67</f>
        <v>621.35757575757566</v>
      </c>
      <c r="S15" s="445">
        <f>CHOOSE(S$5, $E15, $F15, $G15, $H15, $I15) * 'Revenue &amp; COGS Building'!X$67</f>
        <v>678.12727272727273</v>
      </c>
      <c r="T15" s="445">
        <f>CHOOSE(T$5, $E15, $F15, $G15, $H15, $I15) * 'Revenue &amp; COGS Building'!Y$67</f>
        <v>734.89696969696968</v>
      </c>
      <c r="U15" s="445">
        <f>CHOOSE(U$5, $E15, $F15, $G15, $H15, $I15) * 'Revenue &amp; COGS Building'!Z$67</f>
        <v>791.66666666666663</v>
      </c>
      <c r="V15" s="445">
        <f>CHOOSE(V$5, $E15, $F15, $G15, $H15, $I15) * 'Revenue &amp; COGS Building'!AA$67</f>
        <v>1352.1090909090908</v>
      </c>
      <c r="W15" s="445">
        <f>CHOOSE(W$5, $E15, $F15, $G15, $H15, $I15) * 'Revenue &amp; COGS Building'!AB$67</f>
        <v>1468.5272727272727</v>
      </c>
      <c r="X15" s="445">
        <f>CHOOSE(X$5, $E15, $F15, $G15, $H15, $I15) * 'Revenue &amp; COGS Building'!AC$67</f>
        <v>1584.9454545454546</v>
      </c>
      <c r="Y15" s="445">
        <f>CHOOSE(Y$5, $E15, $F15, $G15, $H15, $I15) * 'Revenue &amp; COGS Building'!AD$67</f>
        <v>1701.3636363636363</v>
      </c>
      <c r="Z15" s="445">
        <f>CHOOSE(Z$5, $E15, $F15, $G15, $H15, $I15) * 'Revenue &amp; COGS Building'!AE$67</f>
        <v>1807.4181818181819</v>
      </c>
      <c r="AA15" s="445">
        <f>CHOOSE(AA$5, $E15, $F15, $G15, $H15, $I15) * 'Revenue &amp; COGS Building'!AF$67</f>
        <v>1909.3272727272727</v>
      </c>
      <c r="AB15" s="445">
        <f>CHOOSE(AB$5, $E15, $F15, $G15, $H15, $I15) * 'Revenue &amp; COGS Building'!AG$67</f>
        <v>2011.2363636363636</v>
      </c>
      <c r="AC15" s="445">
        <f>CHOOSE(AC$5, $E15, $F15, $G15, $H15, $I15) * 'Revenue &amp; COGS Building'!AH$67</f>
        <v>2113.1454545454544</v>
      </c>
      <c r="AD15" s="445">
        <f>CHOOSE(AD$5, $E15, $F15, $G15, $H15, $I15) * 'Revenue &amp; COGS Building'!AI$67</f>
        <v>2214.9969696969697</v>
      </c>
      <c r="AE15" s="445">
        <f>CHOOSE(AE$5, $E15, $F15, $G15, $H15, $I15) * 'Revenue &amp; COGS Building'!AJ$67</f>
        <v>2316.8484848484845</v>
      </c>
      <c r="AF15" s="445">
        <f>CHOOSE(AF$5, $E15, $F15, $G15, $H15, $I15) * 'Revenue &amp; COGS Building'!AK$67</f>
        <v>2418.6999999999998</v>
      </c>
      <c r="AG15" s="445">
        <f>CHOOSE(AG$5, $E15, $F15, $G15, $H15, $I15) * 'Revenue &amp; COGS Building'!AL$67</f>
        <v>2520.5515151515151</v>
      </c>
      <c r="AH15" s="445">
        <f>CHOOSE(AH$5, $E15, $F15, $G15, $H15, $I15) * 'Revenue &amp; COGS Building'!AM$67</f>
        <v>2842.1121212121211</v>
      </c>
      <c r="AI15" s="445">
        <f>CHOOSE(AI$5, $E15, $F15, $G15, $H15, $I15) * 'Revenue &amp; COGS Building'!AN$67</f>
        <v>2975.2272727272725</v>
      </c>
      <c r="AJ15" s="445">
        <f>CHOOSE(AJ$5, $E15, $F15, $G15, $H15, $I15) * 'Revenue &amp; COGS Building'!AO$67</f>
        <v>3108.3424242424244</v>
      </c>
      <c r="AK15" s="445">
        <f>CHOOSE(AK$5, $E15, $F15, $G15, $H15, $I15) * 'Revenue &amp; COGS Building'!AP$67</f>
        <v>3241.4575757575758</v>
      </c>
      <c r="AL15" s="445">
        <f>CHOOSE(AL$5, $E15, $F15, $G15, $H15, $I15) * 'Revenue &amp; COGS Building'!AQ$67</f>
        <v>3374.5727272727272</v>
      </c>
      <c r="AM15" s="445">
        <f>CHOOSE(AM$5, $E15, $F15, $G15, $H15, $I15) * 'Revenue &amp; COGS Building'!AR$67</f>
        <v>3507.6878787878791</v>
      </c>
      <c r="AN15" s="445">
        <f>CHOOSE(AN$5, $E15, $F15, $G15, $H15, $I15) * 'Revenue &amp; COGS Building'!AS$67</f>
        <v>3640.7454545454543</v>
      </c>
      <c r="AO15" s="445">
        <f>CHOOSE(AO$5, $E15, $F15, $G15, $H15, $I15) * 'Revenue &amp; COGS Building'!AT$67</f>
        <v>3773.8030303030305</v>
      </c>
      <c r="AP15" s="445">
        <f>CHOOSE(AP$5, $E15, $F15, $G15, $H15, $I15) * 'Revenue &amp; COGS Building'!AU$67</f>
        <v>3906.8606060606057</v>
      </c>
      <c r="AQ15" s="445">
        <f>CHOOSE(AQ$5, $E15, $F15, $G15, $H15, $I15) * 'Revenue &amp; COGS Building'!AV$67</f>
        <v>4039.9181818181819</v>
      </c>
      <c r="AR15" s="445">
        <f>CHOOSE(AR$5, $E15, $F15, $G15, $H15, $I15) * 'Revenue &amp; COGS Building'!AW$67</f>
        <v>4172.9757575757576</v>
      </c>
      <c r="AS15" s="445">
        <f>CHOOSE(AS$5, $E15, $F15, $G15, $H15, $I15) * 'Revenue &amp; COGS Building'!AX$67</f>
        <v>4306.0333333333328</v>
      </c>
    </row>
    <row r="16" spans="1:45" s="11" customFormat="1" ht="15">
      <c r="A16" s="65"/>
      <c r="B16" s="105" t="s">
        <v>84</v>
      </c>
      <c r="C16" s="441">
        <v>37</v>
      </c>
      <c r="D16" s="463" t="s">
        <v>346</v>
      </c>
      <c r="E16" s="465">
        <f>+C16/'Historicals &amp; Projections'!$D$40</f>
        <v>3.3636363636363638E-3</v>
      </c>
      <c r="F16" s="465">
        <v>3.3636363636363638E-3</v>
      </c>
      <c r="G16" s="465">
        <v>3.3636363636363638E-3</v>
      </c>
      <c r="H16" s="465">
        <v>3.3636363636363638E-3</v>
      </c>
      <c r="I16" s="465">
        <v>3.3636363636363638E-3</v>
      </c>
      <c r="J16" s="445">
        <f>CHOOSE(J$5, $E16, $F16, $G16, $H16, $I16) * 'Revenue &amp; COGS Building'!O$67</f>
        <v>81.287878787878796</v>
      </c>
      <c r="K16" s="445">
        <f>CHOOSE(K$5, $E16, $F16, $G16, $H16, $I16) * 'Revenue &amp; COGS Building'!P$67</f>
        <v>108.95378787878789</v>
      </c>
      <c r="L16" s="445">
        <f>CHOOSE(L$5, $E16, $F16, $G16, $H16, $I16) * 'Revenue &amp; COGS Building'!Q$67</f>
        <v>136.61969696969697</v>
      </c>
      <c r="M16" s="445">
        <f>CHOOSE(M$5, $E16, $F16, $G16, $H16, $I16) * 'Revenue &amp; COGS Building'!R$67</f>
        <v>164.28560606060606</v>
      </c>
      <c r="N16" s="445">
        <f>CHOOSE(N$5, $E16, $F16, $G16, $H16, $I16) * 'Revenue &amp; COGS Building'!S$67</f>
        <v>191.95151515151514</v>
      </c>
      <c r="O16" s="445">
        <f>CHOOSE(O$5, $E16, $F16, $G16, $H16, $I16) * 'Revenue &amp; COGS Building'!T$67</f>
        <v>219.58939393939394</v>
      </c>
      <c r="P16" s="445">
        <f>CHOOSE(P$5, $E16, $F16, $G16, $H16, $I16) * 'Revenue &amp; COGS Building'!U$67</f>
        <v>247.22727272727275</v>
      </c>
      <c r="Q16" s="445">
        <f>CHOOSE(Q$5, $E16, $F16, $G16, $H16, $I16) * 'Revenue &amp; COGS Building'!V$67</f>
        <v>274.86515151515152</v>
      </c>
      <c r="R16" s="445">
        <f>CHOOSE(R$5, $E16, $F16, $G16, $H16, $I16) * 'Revenue &amp; COGS Building'!W$67</f>
        <v>302.5030303030303</v>
      </c>
      <c r="S16" s="445">
        <f>CHOOSE(S$5, $E16, $F16, $G16, $H16, $I16) * 'Revenue &amp; COGS Building'!X$67</f>
        <v>330.14090909090913</v>
      </c>
      <c r="T16" s="445">
        <f>CHOOSE(T$5, $E16, $F16, $G16, $H16, $I16) * 'Revenue &amp; COGS Building'!Y$67</f>
        <v>357.77878787878791</v>
      </c>
      <c r="U16" s="445">
        <f>CHOOSE(U$5, $E16, $F16, $G16, $H16, $I16) * 'Revenue &amp; COGS Building'!Z$67</f>
        <v>385.41666666666669</v>
      </c>
      <c r="V16" s="445">
        <f>CHOOSE(V$5, $E16, $F16, $G16, $H16, $I16) * 'Revenue &amp; COGS Building'!AA$67</f>
        <v>658.26363636363635</v>
      </c>
      <c r="W16" s="445">
        <f>CHOOSE(W$5, $E16, $F16, $G16, $H16, $I16) * 'Revenue &amp; COGS Building'!AB$67</f>
        <v>714.94090909090914</v>
      </c>
      <c r="X16" s="445">
        <f>CHOOSE(X$5, $E16, $F16, $G16, $H16, $I16) * 'Revenue &amp; COGS Building'!AC$67</f>
        <v>771.61818181818182</v>
      </c>
      <c r="Y16" s="445">
        <f>CHOOSE(Y$5, $E16, $F16, $G16, $H16, $I16) * 'Revenue &amp; COGS Building'!AD$67</f>
        <v>828.29545454545462</v>
      </c>
      <c r="Z16" s="445">
        <f>CHOOSE(Z$5, $E16, $F16, $G16, $H16, $I16) * 'Revenue &amp; COGS Building'!AE$67</f>
        <v>879.92727272727279</v>
      </c>
      <c r="AA16" s="445">
        <f>CHOOSE(AA$5, $E16, $F16, $G16, $H16, $I16) * 'Revenue &amp; COGS Building'!AF$67</f>
        <v>929.54090909090917</v>
      </c>
      <c r="AB16" s="445">
        <f>CHOOSE(AB$5, $E16, $F16, $G16, $H16, $I16) * 'Revenue &amp; COGS Building'!AG$67</f>
        <v>979.15454545454554</v>
      </c>
      <c r="AC16" s="445">
        <f>CHOOSE(AC$5, $E16, $F16, $G16, $H16, $I16) * 'Revenue &amp; COGS Building'!AH$67</f>
        <v>1028.7681818181818</v>
      </c>
      <c r="AD16" s="445">
        <f>CHOOSE(AD$5, $E16, $F16, $G16, $H16, $I16) * 'Revenue &amp; COGS Building'!AI$67</f>
        <v>1078.3537878787879</v>
      </c>
      <c r="AE16" s="445">
        <f>CHOOSE(AE$5, $E16, $F16, $G16, $H16, $I16) * 'Revenue &amp; COGS Building'!AJ$67</f>
        <v>1127.939393939394</v>
      </c>
      <c r="AF16" s="445">
        <f>CHOOSE(AF$5, $E16, $F16, $G16, $H16, $I16) * 'Revenue &amp; COGS Building'!AK$67</f>
        <v>1177.5250000000001</v>
      </c>
      <c r="AG16" s="445">
        <f>CHOOSE(AG$5, $E16, $F16, $G16, $H16, $I16) * 'Revenue &amp; COGS Building'!AL$67</f>
        <v>1227.1106060606062</v>
      </c>
      <c r="AH16" s="445">
        <f>CHOOSE(AH$5, $E16, $F16, $G16, $H16, $I16) * 'Revenue &amp; COGS Building'!AM$67</f>
        <v>1383.6598484848485</v>
      </c>
      <c r="AI16" s="445">
        <f>CHOOSE(AI$5, $E16, $F16, $G16, $H16, $I16) * 'Revenue &amp; COGS Building'!AN$67</f>
        <v>1448.4659090909092</v>
      </c>
      <c r="AJ16" s="445">
        <f>CHOOSE(AJ$5, $E16, $F16, $G16, $H16, $I16) * 'Revenue &amp; COGS Building'!AO$67</f>
        <v>1513.2719696969698</v>
      </c>
      <c r="AK16" s="445">
        <f>CHOOSE(AK$5, $E16, $F16, $G16, $H16, $I16) * 'Revenue &amp; COGS Building'!AP$67</f>
        <v>1578.0780303030303</v>
      </c>
      <c r="AL16" s="445">
        <f>CHOOSE(AL$5, $E16, $F16, $G16, $H16, $I16) * 'Revenue &amp; COGS Building'!AQ$67</f>
        <v>1642.8840909090909</v>
      </c>
      <c r="AM16" s="445">
        <f>CHOOSE(AM$5, $E16, $F16, $G16, $H16, $I16) * 'Revenue &amp; COGS Building'!AR$67</f>
        <v>1707.6901515151517</v>
      </c>
      <c r="AN16" s="445">
        <f>CHOOSE(AN$5, $E16, $F16, $G16, $H16, $I16) * 'Revenue &amp; COGS Building'!AS$67</f>
        <v>1772.4681818181818</v>
      </c>
      <c r="AO16" s="445">
        <f>CHOOSE(AO$5, $E16, $F16, $G16, $H16, $I16) * 'Revenue &amp; COGS Building'!AT$67</f>
        <v>1837.2462121212122</v>
      </c>
      <c r="AP16" s="445">
        <f>CHOOSE(AP$5, $E16, $F16, $G16, $H16, $I16) * 'Revenue &amp; COGS Building'!AU$67</f>
        <v>1902.0242424242424</v>
      </c>
      <c r="AQ16" s="445">
        <f>CHOOSE(AQ$5, $E16, $F16, $G16, $H16, $I16) * 'Revenue &amp; COGS Building'!AV$67</f>
        <v>1966.8022727272728</v>
      </c>
      <c r="AR16" s="445">
        <f>CHOOSE(AR$5, $E16, $F16, $G16, $H16, $I16) * 'Revenue &amp; COGS Building'!AW$67</f>
        <v>2031.5803030303032</v>
      </c>
      <c r="AS16" s="445">
        <f>CHOOSE(AS$5, $E16, $F16, $G16, $H16, $I16) * 'Revenue &amp; COGS Building'!AX$67</f>
        <v>2096.3583333333331</v>
      </c>
    </row>
    <row r="17" spans="1:45" s="11" customFormat="1" ht="15">
      <c r="A17" s="65"/>
      <c r="B17" s="105" t="s">
        <v>86</v>
      </c>
      <c r="C17" s="441">
        <f t="shared" si="1"/>
        <v>38.5</v>
      </c>
      <c r="D17" s="463" t="s">
        <v>346</v>
      </c>
      <c r="E17" s="465">
        <f>+C17/'Historicals &amp; Projections'!$D$40</f>
        <v>3.5000000000000001E-3</v>
      </c>
      <c r="F17" s="465">
        <v>3.5000000000000001E-3</v>
      </c>
      <c r="G17" s="465">
        <v>3.5000000000000001E-3</v>
      </c>
      <c r="H17" s="465">
        <v>3.5000000000000001E-3</v>
      </c>
      <c r="I17" s="465">
        <v>3.5000000000000001E-3</v>
      </c>
      <c r="J17" s="445">
        <f>CHOOSE(J$5, $E17, $F17, $G17, $H17, $I17) * 'Revenue &amp; COGS Building'!O$67</f>
        <v>84.583333333333343</v>
      </c>
      <c r="K17" s="445">
        <f>CHOOSE(K$5, $E17, $F17, $G17, $H17, $I17) * 'Revenue &amp; COGS Building'!P$67</f>
        <v>113.37083333333334</v>
      </c>
      <c r="L17" s="445">
        <f>CHOOSE(L$5, $E17, $F17, $G17, $H17, $I17) * 'Revenue &amp; COGS Building'!Q$67</f>
        <v>142.15833333333333</v>
      </c>
      <c r="M17" s="445">
        <f>CHOOSE(M$5, $E17, $F17, $G17, $H17, $I17) * 'Revenue &amp; COGS Building'!R$67</f>
        <v>170.94583333333333</v>
      </c>
      <c r="N17" s="445">
        <f>CHOOSE(N$5, $E17, $F17, $G17, $H17, $I17) * 'Revenue &amp; COGS Building'!S$67</f>
        <v>199.73333333333332</v>
      </c>
      <c r="O17" s="445">
        <f>CHOOSE(O$5, $E17, $F17, $G17, $H17, $I17) * 'Revenue &amp; COGS Building'!T$67</f>
        <v>228.49166666666667</v>
      </c>
      <c r="P17" s="445">
        <f>CHOOSE(P$5, $E17, $F17, $G17, $H17, $I17) * 'Revenue &amp; COGS Building'!U$67</f>
        <v>257.25</v>
      </c>
      <c r="Q17" s="445">
        <f>CHOOSE(Q$5, $E17, $F17, $G17, $H17, $I17) * 'Revenue &amp; COGS Building'!V$67</f>
        <v>286.00833333333338</v>
      </c>
      <c r="R17" s="445">
        <f>CHOOSE(R$5, $E17, $F17, $G17, $H17, $I17) * 'Revenue &amp; COGS Building'!W$67</f>
        <v>314.76666666666665</v>
      </c>
      <c r="S17" s="445">
        <f>CHOOSE(S$5, $E17, $F17, $G17, $H17, $I17) * 'Revenue &amp; COGS Building'!X$67</f>
        <v>343.52500000000003</v>
      </c>
      <c r="T17" s="445">
        <f>CHOOSE(T$5, $E17, $F17, $G17, $H17, $I17) * 'Revenue &amp; COGS Building'!Y$67</f>
        <v>372.28333333333336</v>
      </c>
      <c r="U17" s="445">
        <f>CHOOSE(U$5, $E17, $F17, $G17, $H17, $I17) * 'Revenue &amp; COGS Building'!Z$67</f>
        <v>401.04166666666669</v>
      </c>
      <c r="V17" s="445">
        <f>CHOOSE(V$5, $E17, $F17, $G17, $H17, $I17) * 'Revenue &amp; COGS Building'!AA$67</f>
        <v>684.95</v>
      </c>
      <c r="W17" s="445">
        <f>CHOOSE(W$5, $E17, $F17, $G17, $H17, $I17) * 'Revenue &amp; COGS Building'!AB$67</f>
        <v>743.92500000000007</v>
      </c>
      <c r="X17" s="445">
        <f>CHOOSE(X$5, $E17, $F17, $G17, $H17, $I17) * 'Revenue &amp; COGS Building'!AC$67</f>
        <v>802.9</v>
      </c>
      <c r="Y17" s="445">
        <f>CHOOSE(Y$5, $E17, $F17, $G17, $H17, $I17) * 'Revenue &amp; COGS Building'!AD$67</f>
        <v>861.875</v>
      </c>
      <c r="Z17" s="445">
        <f>CHOOSE(Z$5, $E17, $F17, $G17, $H17, $I17) * 'Revenue &amp; COGS Building'!AE$67</f>
        <v>915.6</v>
      </c>
      <c r="AA17" s="445">
        <f>CHOOSE(AA$5, $E17, $F17, $G17, $H17, $I17) * 'Revenue &amp; COGS Building'!AF$67</f>
        <v>967.22500000000002</v>
      </c>
      <c r="AB17" s="445">
        <f>CHOOSE(AB$5, $E17, $F17, $G17, $H17, $I17) * 'Revenue &amp; COGS Building'!AG$67</f>
        <v>1018.85</v>
      </c>
      <c r="AC17" s="445">
        <f>CHOOSE(AC$5, $E17, $F17, $G17, $H17, $I17) * 'Revenue &amp; COGS Building'!AH$67</f>
        <v>1070.4749999999999</v>
      </c>
      <c r="AD17" s="445">
        <f>CHOOSE(AD$5, $E17, $F17, $G17, $H17, $I17) * 'Revenue &amp; COGS Building'!AI$67</f>
        <v>1122.0708333333334</v>
      </c>
      <c r="AE17" s="445">
        <f>CHOOSE(AE$5, $E17, $F17, $G17, $H17, $I17) * 'Revenue &amp; COGS Building'!AJ$67</f>
        <v>1173.6666666666665</v>
      </c>
      <c r="AF17" s="445">
        <f>CHOOSE(AF$5, $E17, $F17, $G17, $H17, $I17) * 'Revenue &amp; COGS Building'!AK$67</f>
        <v>1225.2625</v>
      </c>
      <c r="AG17" s="445">
        <f>CHOOSE(AG$5, $E17, $F17, $G17, $H17, $I17) * 'Revenue &amp; COGS Building'!AL$67</f>
        <v>1276.8583333333333</v>
      </c>
      <c r="AH17" s="445">
        <f>CHOOSE(AH$5, $E17, $F17, $G17, $H17, $I17) * 'Revenue &amp; COGS Building'!AM$67</f>
        <v>1439.7541666666666</v>
      </c>
      <c r="AI17" s="445">
        <f>CHOOSE(AI$5, $E17, $F17, $G17, $H17, $I17) * 'Revenue &amp; COGS Building'!AN$67</f>
        <v>1507.1875</v>
      </c>
      <c r="AJ17" s="445">
        <f>CHOOSE(AJ$5, $E17, $F17, $G17, $H17, $I17) * 'Revenue &amp; COGS Building'!AO$67</f>
        <v>1574.6208333333334</v>
      </c>
      <c r="AK17" s="445">
        <f>CHOOSE(AK$5, $E17, $F17, $G17, $H17, $I17) * 'Revenue &amp; COGS Building'!AP$67</f>
        <v>1642.0541666666666</v>
      </c>
      <c r="AL17" s="445">
        <f>CHOOSE(AL$5, $E17, $F17, $G17, $H17, $I17) * 'Revenue &amp; COGS Building'!AQ$67</f>
        <v>1709.4875</v>
      </c>
      <c r="AM17" s="445">
        <f>CHOOSE(AM$5, $E17, $F17, $G17, $H17, $I17) * 'Revenue &amp; COGS Building'!AR$67</f>
        <v>1776.9208333333333</v>
      </c>
      <c r="AN17" s="445">
        <f>CHOOSE(AN$5, $E17, $F17, $G17, $H17, $I17) * 'Revenue &amp; COGS Building'!AS$67</f>
        <v>1844.325</v>
      </c>
      <c r="AO17" s="445">
        <f>CHOOSE(AO$5, $E17, $F17, $G17, $H17, $I17) * 'Revenue &amp; COGS Building'!AT$67</f>
        <v>1911.7291666666667</v>
      </c>
      <c r="AP17" s="445">
        <f>CHOOSE(AP$5, $E17, $F17, $G17, $H17, $I17) * 'Revenue &amp; COGS Building'!AU$67</f>
        <v>1979.1333333333332</v>
      </c>
      <c r="AQ17" s="445">
        <f>CHOOSE(AQ$5, $E17, $F17, $G17, $H17, $I17) * 'Revenue &amp; COGS Building'!AV$67</f>
        <v>2046.5375000000001</v>
      </c>
      <c r="AR17" s="445">
        <f>CHOOSE(AR$5, $E17, $F17, $G17, $H17, $I17) * 'Revenue &amp; COGS Building'!AW$67</f>
        <v>2113.9416666666671</v>
      </c>
      <c r="AS17" s="445">
        <f>CHOOSE(AS$5, $E17, $F17, $G17, $H17, $I17) * 'Revenue &amp; COGS Building'!AX$67</f>
        <v>2181.3458333333333</v>
      </c>
    </row>
    <row r="18" spans="1:45" s="11" customFormat="1" ht="15">
      <c r="A18" s="65"/>
      <c r="B18" s="105" t="s">
        <v>156</v>
      </c>
      <c r="C18" s="441">
        <v>90</v>
      </c>
      <c r="D18" s="463" t="s">
        <v>346</v>
      </c>
      <c r="E18" s="465">
        <f>+C18/'Historicals &amp; Projections'!$D$40</f>
        <v>8.1818181818181825E-3</v>
      </c>
      <c r="F18" s="465">
        <v>8.1818181818181825E-3</v>
      </c>
      <c r="G18" s="465">
        <v>8.1818181818181825E-3</v>
      </c>
      <c r="H18" s="465">
        <v>8.1818181818181825E-3</v>
      </c>
      <c r="I18" s="465">
        <v>8.1818181818181825E-3</v>
      </c>
      <c r="J18" s="445">
        <f>CHOOSE(J$5, $E18, $F18, $G18, $H18, $I18) * 'Revenue &amp; COGS Building'!O$67</f>
        <v>197.72727272727275</v>
      </c>
      <c r="K18" s="445">
        <f>CHOOSE(K$5, $E18, $F18, $G18, $H18, $I18) * 'Revenue &amp; COGS Building'!P$67</f>
        <v>265.02272727272731</v>
      </c>
      <c r="L18" s="445">
        <f>CHOOSE(L$5, $E18, $F18, $G18, $H18, $I18) * 'Revenue &amp; COGS Building'!Q$67</f>
        <v>332.31818181818181</v>
      </c>
      <c r="M18" s="445">
        <f>CHOOSE(M$5, $E18, $F18, $G18, $H18, $I18) * 'Revenue &amp; COGS Building'!R$67</f>
        <v>399.61363636363637</v>
      </c>
      <c r="N18" s="445">
        <f>CHOOSE(N$5, $E18, $F18, $G18, $H18, $I18) * 'Revenue &amp; COGS Building'!S$67</f>
        <v>466.90909090909093</v>
      </c>
      <c r="O18" s="445">
        <f>CHOOSE(O$5, $E18, $F18, $G18, $H18, $I18) * 'Revenue &amp; COGS Building'!T$67</f>
        <v>534.13636363636374</v>
      </c>
      <c r="P18" s="445">
        <f>CHOOSE(P$5, $E18, $F18, $G18, $H18, $I18) * 'Revenue &amp; COGS Building'!U$67</f>
        <v>601.36363636363637</v>
      </c>
      <c r="Q18" s="445">
        <f>CHOOSE(Q$5, $E18, $F18, $G18, $H18, $I18) * 'Revenue &amp; COGS Building'!V$67</f>
        <v>668.59090909090924</v>
      </c>
      <c r="R18" s="445">
        <f>CHOOSE(R$5, $E18, $F18, $G18, $H18, $I18) * 'Revenue &amp; COGS Building'!W$67</f>
        <v>735.81818181818187</v>
      </c>
      <c r="S18" s="445">
        <f>CHOOSE(S$5, $E18, $F18, $G18, $H18, $I18) * 'Revenue &amp; COGS Building'!X$67</f>
        <v>803.04545454545462</v>
      </c>
      <c r="T18" s="445">
        <f>CHOOSE(T$5, $E18, $F18, $G18, $H18, $I18) * 'Revenue &amp; COGS Building'!Y$67</f>
        <v>870.27272727272737</v>
      </c>
      <c r="U18" s="445">
        <f>CHOOSE(U$5, $E18, $F18, $G18, $H18, $I18) * 'Revenue &amp; COGS Building'!Z$67</f>
        <v>937.5</v>
      </c>
      <c r="V18" s="445">
        <f>CHOOSE(V$5, $E18, $F18, $G18, $H18, $I18) * 'Revenue &amp; COGS Building'!AA$67</f>
        <v>1601.1818181818182</v>
      </c>
      <c r="W18" s="445">
        <f>CHOOSE(W$5, $E18, $F18, $G18, $H18, $I18) * 'Revenue &amp; COGS Building'!AB$67</f>
        <v>1739.0454545454547</v>
      </c>
      <c r="X18" s="445">
        <f>CHOOSE(X$5, $E18, $F18, $G18, $H18, $I18) * 'Revenue &amp; COGS Building'!AC$67</f>
        <v>1876.909090909091</v>
      </c>
      <c r="Y18" s="445">
        <f>CHOOSE(Y$5, $E18, $F18, $G18, $H18, $I18) * 'Revenue &amp; COGS Building'!AD$67</f>
        <v>2014.7727272727275</v>
      </c>
      <c r="Z18" s="445">
        <f>CHOOSE(Z$5, $E18, $F18, $G18, $H18, $I18) * 'Revenue &amp; COGS Building'!AE$67</f>
        <v>2140.3636363636365</v>
      </c>
      <c r="AA18" s="445">
        <f>CHOOSE(AA$5, $E18, $F18, $G18, $H18, $I18) * 'Revenue &amp; COGS Building'!AF$67</f>
        <v>2261.0454545454545</v>
      </c>
      <c r="AB18" s="445">
        <f>CHOOSE(AB$5, $E18, $F18, $G18, $H18, $I18) * 'Revenue &amp; COGS Building'!AG$67</f>
        <v>2381.727272727273</v>
      </c>
      <c r="AC18" s="445">
        <f>CHOOSE(AC$5, $E18, $F18, $G18, $H18, $I18) * 'Revenue &amp; COGS Building'!AH$67</f>
        <v>2502.409090909091</v>
      </c>
      <c r="AD18" s="445">
        <f>CHOOSE(AD$5, $E18, $F18, $G18, $H18, $I18) * 'Revenue &amp; COGS Building'!AI$67</f>
        <v>2623.0227272727275</v>
      </c>
      <c r="AE18" s="445">
        <f>CHOOSE(AE$5, $E18, $F18, $G18, $H18, $I18) * 'Revenue &amp; COGS Building'!AJ$67</f>
        <v>2743.6363636363635</v>
      </c>
      <c r="AF18" s="445">
        <f>CHOOSE(AF$5, $E18, $F18, $G18, $H18, $I18) * 'Revenue &amp; COGS Building'!AK$67</f>
        <v>2864.25</v>
      </c>
      <c r="AG18" s="445">
        <f>CHOOSE(AG$5, $E18, $F18, $G18, $H18, $I18) * 'Revenue &amp; COGS Building'!AL$67</f>
        <v>2984.8636363636369</v>
      </c>
      <c r="AH18" s="445">
        <f>CHOOSE(AH$5, $E18, $F18, $G18, $H18, $I18) * 'Revenue &amp; COGS Building'!AM$67</f>
        <v>3365.659090909091</v>
      </c>
      <c r="AI18" s="445">
        <f>CHOOSE(AI$5, $E18, $F18, $G18, $H18, $I18) * 'Revenue &amp; COGS Building'!AN$67</f>
        <v>3523.295454545455</v>
      </c>
      <c r="AJ18" s="445">
        <f>CHOOSE(AJ$5, $E18, $F18, $G18, $H18, $I18) * 'Revenue &amp; COGS Building'!AO$67</f>
        <v>3680.9318181818185</v>
      </c>
      <c r="AK18" s="445">
        <f>CHOOSE(AK$5, $E18, $F18, $G18, $H18, $I18) * 'Revenue &amp; COGS Building'!AP$67</f>
        <v>3838.568181818182</v>
      </c>
      <c r="AL18" s="445">
        <f>CHOOSE(AL$5, $E18, $F18, $G18, $H18, $I18) * 'Revenue &amp; COGS Building'!AQ$67</f>
        <v>3996.204545454546</v>
      </c>
      <c r="AM18" s="445">
        <f>CHOOSE(AM$5, $E18, $F18, $G18, $H18, $I18) * 'Revenue &amp; COGS Building'!AR$67</f>
        <v>4153.8409090909099</v>
      </c>
      <c r="AN18" s="445">
        <f>CHOOSE(AN$5, $E18, $F18, $G18, $H18, $I18) * 'Revenue &amp; COGS Building'!AS$67</f>
        <v>4311.409090909091</v>
      </c>
      <c r="AO18" s="445">
        <f>CHOOSE(AO$5, $E18, $F18, $G18, $H18, $I18) * 'Revenue &amp; COGS Building'!AT$67</f>
        <v>4468.977272727273</v>
      </c>
      <c r="AP18" s="445">
        <f>CHOOSE(AP$5, $E18, $F18, $G18, $H18, $I18) * 'Revenue &amp; COGS Building'!AU$67</f>
        <v>4626.545454545455</v>
      </c>
      <c r="AQ18" s="445">
        <f>CHOOSE(AQ$5, $E18, $F18, $G18, $H18, $I18) * 'Revenue &amp; COGS Building'!AV$67</f>
        <v>4784.1136363636369</v>
      </c>
      <c r="AR18" s="445">
        <f>CHOOSE(AR$5, $E18, $F18, $G18, $H18, $I18) * 'Revenue &amp; COGS Building'!AW$67</f>
        <v>4941.6818181818189</v>
      </c>
      <c r="AS18" s="445">
        <f>CHOOSE(AS$5, $E18, $F18, $G18, $H18, $I18) * 'Revenue &amp; COGS Building'!AX$67</f>
        <v>5099.25</v>
      </c>
    </row>
    <row r="19" spans="1:45" s="11" customFormat="1" ht="15">
      <c r="A19" s="65"/>
      <c r="B19" s="105" t="s">
        <v>206</v>
      </c>
      <c r="C19" s="441">
        <v>45</v>
      </c>
      <c r="D19" s="463" t="s">
        <v>346</v>
      </c>
      <c r="E19" s="465">
        <f>+C19/'Historicals &amp; Projections'!$D$40</f>
        <v>4.0909090909090912E-3</v>
      </c>
      <c r="F19" s="465">
        <v>4.0909090909090912E-3</v>
      </c>
      <c r="G19" s="465">
        <v>4.0909090909090912E-3</v>
      </c>
      <c r="H19" s="465">
        <v>4.0909090909090912E-3</v>
      </c>
      <c r="I19" s="465">
        <v>4.0909090909090904E-3</v>
      </c>
      <c r="J19" s="445">
        <f>CHOOSE(J$5, $E19, $F19, $G19, $H19, $I19) * 'Revenue &amp; COGS Building'!O$67</f>
        <v>98.863636363636374</v>
      </c>
      <c r="K19" s="445">
        <f>CHOOSE(K$5, $E19, $F19, $G19, $H19, $I19) * 'Revenue &amp; COGS Building'!P$67</f>
        <v>132.51136363636365</v>
      </c>
      <c r="L19" s="445">
        <f>CHOOSE(L$5, $E19, $F19, $G19, $H19, $I19) * 'Revenue &amp; COGS Building'!Q$67</f>
        <v>166.15909090909091</v>
      </c>
      <c r="M19" s="445">
        <f>CHOOSE(M$5, $E19, $F19, $G19, $H19, $I19) * 'Revenue &amp; COGS Building'!R$67</f>
        <v>199.80681818181819</v>
      </c>
      <c r="N19" s="445">
        <f>CHOOSE(N$5, $E19, $F19, $G19, $H19, $I19) * 'Revenue &amp; COGS Building'!S$67</f>
        <v>233.45454545454547</v>
      </c>
      <c r="O19" s="445">
        <f>CHOOSE(O$5, $E19, $F19, $G19, $H19, $I19) * 'Revenue &amp; COGS Building'!T$67</f>
        <v>267.06818181818187</v>
      </c>
      <c r="P19" s="445">
        <f>CHOOSE(P$5, $E19, $F19, $G19, $H19, $I19) * 'Revenue &amp; COGS Building'!U$67</f>
        <v>300.68181818181819</v>
      </c>
      <c r="Q19" s="445">
        <f>CHOOSE(Q$5, $E19, $F19, $G19, $H19, $I19) * 'Revenue &amp; COGS Building'!V$67</f>
        <v>334.29545454545462</v>
      </c>
      <c r="R19" s="445">
        <f>CHOOSE(R$5, $E19, $F19, $G19, $H19, $I19) * 'Revenue &amp; COGS Building'!W$67</f>
        <v>367.90909090909093</v>
      </c>
      <c r="S19" s="445">
        <f>CHOOSE(S$5, $E19, $F19, $G19, $H19, $I19) * 'Revenue &amp; COGS Building'!X$67</f>
        <v>401.52272727272731</v>
      </c>
      <c r="T19" s="445">
        <f>CHOOSE(T$5, $E19, $F19, $G19, $H19, $I19) * 'Revenue &amp; COGS Building'!Y$67</f>
        <v>435.13636363636368</v>
      </c>
      <c r="U19" s="445">
        <f>CHOOSE(U$5, $E19, $F19, $G19, $H19, $I19) * 'Revenue &amp; COGS Building'!Z$67</f>
        <v>468.75</v>
      </c>
      <c r="V19" s="445">
        <f>CHOOSE(V$5, $E19, $F19, $G19, $H19, $I19) * 'Revenue &amp; COGS Building'!AA$67</f>
        <v>800.59090909090912</v>
      </c>
      <c r="W19" s="445">
        <f>CHOOSE(W$5, $E19, $F19, $G19, $H19, $I19) * 'Revenue &amp; COGS Building'!AB$67</f>
        <v>869.52272727272737</v>
      </c>
      <c r="X19" s="445">
        <f>CHOOSE(X$5, $E19, $F19, $G19, $H19, $I19) * 'Revenue &amp; COGS Building'!AC$67</f>
        <v>938.4545454545455</v>
      </c>
      <c r="Y19" s="445">
        <f>CHOOSE(Y$5, $E19, $F19, $G19, $H19, $I19) * 'Revenue &amp; COGS Building'!AD$67</f>
        <v>1007.3863636363637</v>
      </c>
      <c r="Z19" s="445">
        <f>CHOOSE(Z$5, $E19, $F19, $G19, $H19, $I19) * 'Revenue &amp; COGS Building'!AE$67</f>
        <v>1070.1818181818182</v>
      </c>
      <c r="AA19" s="445">
        <f>CHOOSE(AA$5, $E19, $F19, $G19, $H19, $I19) * 'Revenue &amp; COGS Building'!AF$67</f>
        <v>1130.5227272727273</v>
      </c>
      <c r="AB19" s="445">
        <f>CHOOSE(AB$5, $E19, $F19, $G19, $H19, $I19) * 'Revenue &amp; COGS Building'!AG$67</f>
        <v>1190.8636363636365</v>
      </c>
      <c r="AC19" s="445">
        <f>CHOOSE(AC$5, $E19, $F19, $G19, $H19, $I19) * 'Revenue &amp; COGS Building'!AH$67</f>
        <v>1251.2045454545455</v>
      </c>
      <c r="AD19" s="445">
        <f>CHOOSE(AD$5, $E19, $F19, $G19, $H19, $I19) * 'Revenue &amp; COGS Building'!AI$67</f>
        <v>1311.5113636363637</v>
      </c>
      <c r="AE19" s="445">
        <f>CHOOSE(AE$5, $E19, $F19, $G19, $H19, $I19) * 'Revenue &amp; COGS Building'!AJ$67</f>
        <v>1371.8181818181818</v>
      </c>
      <c r="AF19" s="445">
        <f>CHOOSE(AF$5, $E19, $F19, $G19, $H19, $I19) * 'Revenue &amp; COGS Building'!AK$67</f>
        <v>1432.125</v>
      </c>
      <c r="AG19" s="445">
        <f>CHOOSE(AG$5, $E19, $F19, $G19, $H19, $I19) * 'Revenue &amp; COGS Building'!AL$67</f>
        <v>1492.4318181818185</v>
      </c>
      <c r="AH19" s="445">
        <f>CHOOSE(AH$5, $E19, $F19, $G19, $H19, $I19) * 'Revenue &amp; COGS Building'!AM$67</f>
        <v>1682.8295454545455</v>
      </c>
      <c r="AI19" s="445">
        <f>CHOOSE(AI$5, $E19, $F19, $G19, $H19, $I19) * 'Revenue &amp; COGS Building'!AN$67</f>
        <v>1761.6477272727275</v>
      </c>
      <c r="AJ19" s="445">
        <f>CHOOSE(AJ$5, $E19, $F19, $G19, $H19, $I19) * 'Revenue &amp; COGS Building'!AO$67</f>
        <v>1840.4659090909092</v>
      </c>
      <c r="AK19" s="445">
        <f>CHOOSE(AK$5, $E19, $F19, $G19, $H19, $I19) * 'Revenue &amp; COGS Building'!AP$67</f>
        <v>1919.284090909091</v>
      </c>
      <c r="AL19" s="445">
        <f>CHOOSE(AL$5, $E19, $F19, $G19, $H19, $I19) * 'Revenue &amp; COGS Building'!AQ$67</f>
        <v>1998.102272727273</v>
      </c>
      <c r="AM19" s="445">
        <f>CHOOSE(AM$5, $E19, $F19, $G19, $H19, $I19) * 'Revenue &amp; COGS Building'!AR$67</f>
        <v>2076.920454545455</v>
      </c>
      <c r="AN19" s="445">
        <f>CHOOSE(AN$5, $E19, $F19, $G19, $H19, $I19) * 'Revenue &amp; COGS Building'!AS$67</f>
        <v>2155.7045454545455</v>
      </c>
      <c r="AO19" s="445">
        <f>CHOOSE(AO$5, $E19, $F19, $G19, $H19, $I19) * 'Revenue &amp; COGS Building'!AT$67</f>
        <v>2234.4886363636365</v>
      </c>
      <c r="AP19" s="445">
        <f>CHOOSE(AP$5, $E19, $F19, $G19, $H19, $I19) * 'Revenue &amp; COGS Building'!AU$67</f>
        <v>2313.2727272727275</v>
      </c>
      <c r="AQ19" s="445">
        <f>CHOOSE(AQ$5, $E19, $F19, $G19, $H19, $I19) * 'Revenue &amp; COGS Building'!AV$67</f>
        <v>2392.0568181818185</v>
      </c>
      <c r="AR19" s="445">
        <f>CHOOSE(AR$5, $E19, $F19, $G19, $H19, $I19) * 'Revenue &amp; COGS Building'!AW$67</f>
        <v>2470.8409090909095</v>
      </c>
      <c r="AS19" s="445">
        <f>CHOOSE(AS$5, $E19, $F19, $G19, $H19, $I19) * 'Revenue &amp; COGS Building'!AX$67</f>
        <v>2549.625</v>
      </c>
    </row>
    <row r="20" spans="1:45" s="11" customFormat="1" ht="15">
      <c r="A20" s="65"/>
      <c r="B20" s="105" t="s">
        <v>87</v>
      </c>
      <c r="C20" s="441">
        <f t="shared" si="1"/>
        <v>38.5</v>
      </c>
      <c r="D20" s="463" t="s">
        <v>346</v>
      </c>
      <c r="E20" s="465">
        <f>+C20/'Historicals &amp; Projections'!$D$40</f>
        <v>3.5000000000000001E-3</v>
      </c>
      <c r="F20" s="465">
        <v>3.5000000000000001E-3</v>
      </c>
      <c r="G20" s="465">
        <v>3.5000000000000001E-3</v>
      </c>
      <c r="H20" s="465">
        <v>3.5000000000000001E-3</v>
      </c>
      <c r="I20" s="465">
        <v>3.5000000000000001E-3</v>
      </c>
      <c r="J20" s="445">
        <f>CHOOSE(J$5, $E20, $F20, $G20, $H20, $I20) * 'Revenue &amp; COGS Building'!O$67</f>
        <v>84.583333333333343</v>
      </c>
      <c r="K20" s="445">
        <f>CHOOSE(K$5, $E20, $F20, $G20, $H20, $I20) * 'Revenue &amp; COGS Building'!P$67</f>
        <v>113.37083333333334</v>
      </c>
      <c r="L20" s="445">
        <f>CHOOSE(L$5, $E20, $F20, $G20, $H20, $I20) * 'Revenue &amp; COGS Building'!Q$67</f>
        <v>142.15833333333333</v>
      </c>
      <c r="M20" s="445">
        <f>CHOOSE(M$5, $E20, $F20, $G20, $H20, $I20) * 'Revenue &amp; COGS Building'!R$67</f>
        <v>170.94583333333333</v>
      </c>
      <c r="N20" s="445">
        <f>CHOOSE(N$5, $E20, $F20, $G20, $H20, $I20) * 'Revenue &amp; COGS Building'!S$67</f>
        <v>199.73333333333332</v>
      </c>
      <c r="O20" s="445">
        <f>CHOOSE(O$5, $E20, $F20, $G20, $H20, $I20) * 'Revenue &amp; COGS Building'!T$67</f>
        <v>228.49166666666667</v>
      </c>
      <c r="P20" s="445">
        <f>CHOOSE(P$5, $E20, $F20, $G20, $H20, $I20) * 'Revenue &amp; COGS Building'!U$67</f>
        <v>257.25</v>
      </c>
      <c r="Q20" s="445">
        <f>CHOOSE(Q$5, $E20, $F20, $G20, $H20, $I20) * 'Revenue &amp; COGS Building'!V$67</f>
        <v>286.00833333333338</v>
      </c>
      <c r="R20" s="445">
        <f>CHOOSE(R$5, $E20, $F20, $G20, $H20, $I20) * 'Revenue &amp; COGS Building'!W$67</f>
        <v>314.76666666666665</v>
      </c>
      <c r="S20" s="445">
        <f>CHOOSE(S$5, $E20, $F20, $G20, $H20, $I20) * 'Revenue &amp; COGS Building'!X$67</f>
        <v>343.52500000000003</v>
      </c>
      <c r="T20" s="445">
        <f>CHOOSE(T$5, $E20, $F20, $G20, $H20, $I20) * 'Revenue &amp; COGS Building'!Y$67</f>
        <v>372.28333333333336</v>
      </c>
      <c r="U20" s="445">
        <f>CHOOSE(U$5, $E20, $F20, $G20, $H20, $I20) * 'Revenue &amp; COGS Building'!Z$67</f>
        <v>401.04166666666669</v>
      </c>
      <c r="V20" s="445">
        <f>CHOOSE(V$5, $E20, $F20, $G20, $H20, $I20) * 'Revenue &amp; COGS Building'!AA$67</f>
        <v>684.95</v>
      </c>
      <c r="W20" s="445">
        <f>CHOOSE(W$5, $E20, $F20, $G20, $H20, $I20) * 'Revenue &amp; COGS Building'!AB$67</f>
        <v>743.92500000000007</v>
      </c>
      <c r="X20" s="445">
        <f>CHOOSE(X$5, $E20, $F20, $G20, $H20, $I20) * 'Revenue &amp; COGS Building'!AC$67</f>
        <v>802.9</v>
      </c>
      <c r="Y20" s="445">
        <f>CHOOSE(Y$5, $E20, $F20, $G20, $H20, $I20) * 'Revenue &amp; COGS Building'!AD$67</f>
        <v>861.875</v>
      </c>
      <c r="Z20" s="445">
        <f>CHOOSE(Z$5, $E20, $F20, $G20, $H20, $I20) * 'Revenue &amp; COGS Building'!AE$67</f>
        <v>915.6</v>
      </c>
      <c r="AA20" s="445">
        <f>CHOOSE(AA$5, $E20, $F20, $G20, $H20, $I20) * 'Revenue &amp; COGS Building'!AF$67</f>
        <v>967.22500000000002</v>
      </c>
      <c r="AB20" s="445">
        <f>CHOOSE(AB$5, $E20, $F20, $G20, $H20, $I20) * 'Revenue &amp; COGS Building'!AG$67</f>
        <v>1018.85</v>
      </c>
      <c r="AC20" s="445">
        <f>CHOOSE(AC$5, $E20, $F20, $G20, $H20, $I20) * 'Revenue &amp; COGS Building'!AH$67</f>
        <v>1070.4749999999999</v>
      </c>
      <c r="AD20" s="445">
        <f>CHOOSE(AD$5, $E20, $F20, $G20, $H20, $I20) * 'Revenue &amp; COGS Building'!AI$67</f>
        <v>1122.0708333333334</v>
      </c>
      <c r="AE20" s="445">
        <f>CHOOSE(AE$5, $E20, $F20, $G20, $H20, $I20) * 'Revenue &amp; COGS Building'!AJ$67</f>
        <v>1173.6666666666665</v>
      </c>
      <c r="AF20" s="445">
        <f>CHOOSE(AF$5, $E20, $F20, $G20, $H20, $I20) * 'Revenue &amp; COGS Building'!AK$67</f>
        <v>1225.2625</v>
      </c>
      <c r="AG20" s="445">
        <f>CHOOSE(AG$5, $E20, $F20, $G20, $H20, $I20) * 'Revenue &amp; COGS Building'!AL$67</f>
        <v>1276.8583333333333</v>
      </c>
      <c r="AH20" s="445">
        <f>CHOOSE(AH$5, $E20, $F20, $G20, $H20, $I20) * 'Revenue &amp; COGS Building'!AM$67</f>
        <v>1439.7541666666666</v>
      </c>
      <c r="AI20" s="445">
        <f>CHOOSE(AI$5, $E20, $F20, $G20, $H20, $I20) * 'Revenue &amp; COGS Building'!AN$67</f>
        <v>1507.1875</v>
      </c>
      <c r="AJ20" s="445">
        <f>CHOOSE(AJ$5, $E20, $F20, $G20, $H20, $I20) * 'Revenue &amp; COGS Building'!AO$67</f>
        <v>1574.6208333333334</v>
      </c>
      <c r="AK20" s="445">
        <f>CHOOSE(AK$5, $E20, $F20, $G20, $H20, $I20) * 'Revenue &amp; COGS Building'!AP$67</f>
        <v>1642.0541666666666</v>
      </c>
      <c r="AL20" s="445">
        <f>CHOOSE(AL$5, $E20, $F20, $G20, $H20, $I20) * 'Revenue &amp; COGS Building'!AQ$67</f>
        <v>1709.4875</v>
      </c>
      <c r="AM20" s="445">
        <f>CHOOSE(AM$5, $E20, $F20, $G20, $H20, $I20) * 'Revenue &amp; COGS Building'!AR$67</f>
        <v>1776.9208333333333</v>
      </c>
      <c r="AN20" s="445">
        <f>CHOOSE(AN$5, $E20, $F20, $G20, $H20, $I20) * 'Revenue &amp; COGS Building'!AS$67</f>
        <v>1844.325</v>
      </c>
      <c r="AO20" s="445">
        <f>CHOOSE(AO$5, $E20, $F20, $G20, $H20, $I20) * 'Revenue &amp; COGS Building'!AT$67</f>
        <v>1911.7291666666667</v>
      </c>
      <c r="AP20" s="445">
        <f>CHOOSE(AP$5, $E20, $F20, $G20, $H20, $I20) * 'Revenue &amp; COGS Building'!AU$67</f>
        <v>1979.1333333333332</v>
      </c>
      <c r="AQ20" s="445">
        <f>CHOOSE(AQ$5, $E20, $F20, $G20, $H20, $I20) * 'Revenue &amp; COGS Building'!AV$67</f>
        <v>2046.5375000000001</v>
      </c>
      <c r="AR20" s="445">
        <f>CHOOSE(AR$5, $E20, $F20, $G20, $H20, $I20) * 'Revenue &amp; COGS Building'!AW$67</f>
        <v>2113.9416666666671</v>
      </c>
      <c r="AS20" s="445">
        <f>CHOOSE(AS$5, $E20, $F20, $G20, $H20, $I20) * 'Revenue &amp; COGS Building'!AX$67</f>
        <v>2181.3458333333333</v>
      </c>
    </row>
    <row r="21" spans="1:45" s="11" customFormat="1" ht="15">
      <c r="A21" s="65"/>
      <c r="B21" s="105" t="s">
        <v>249</v>
      </c>
      <c r="C21" s="441">
        <v>33</v>
      </c>
      <c r="D21" s="463" t="s">
        <v>346</v>
      </c>
      <c r="E21" s="465">
        <f>+C21/'Historicals &amp; Projections'!$D$40</f>
        <v>3.0000000000000001E-3</v>
      </c>
      <c r="F21" s="465">
        <v>3.0000000000000001E-3</v>
      </c>
      <c r="G21" s="465">
        <v>3.0000000000000001E-3</v>
      </c>
      <c r="H21" s="465">
        <v>3.0000000000000001E-3</v>
      </c>
      <c r="I21" s="465">
        <v>3.0000000000000001E-3</v>
      </c>
      <c r="J21" s="445">
        <f>CHOOSE(J$5, $E21, $F21, $G21, $H21, $I21) * 'Revenue &amp; COGS Building'!O$67</f>
        <v>72.5</v>
      </c>
      <c r="K21" s="445">
        <f>CHOOSE(K$5, $E21, $F21, $G21, $H21, $I21) * 'Revenue &amp; COGS Building'!P$67</f>
        <v>97.175000000000011</v>
      </c>
      <c r="L21" s="445">
        <f>CHOOSE(L$5, $E21, $F21, $G21, $H21, $I21) * 'Revenue &amp; COGS Building'!Q$67</f>
        <v>121.85</v>
      </c>
      <c r="M21" s="445">
        <f>CHOOSE(M$5, $E21, $F21, $G21, $H21, $I21) * 'Revenue &amp; COGS Building'!R$67</f>
        <v>146.52500000000001</v>
      </c>
      <c r="N21" s="445">
        <f>CHOOSE(N$5, $E21, $F21, $G21, $H21, $I21) * 'Revenue &amp; COGS Building'!S$67</f>
        <v>171.2</v>
      </c>
      <c r="O21" s="445">
        <f>CHOOSE(O$5, $E21, $F21, $G21, $H21, $I21) * 'Revenue &amp; COGS Building'!T$67</f>
        <v>195.85000000000002</v>
      </c>
      <c r="P21" s="445">
        <f>CHOOSE(P$5, $E21, $F21, $G21, $H21, $I21) * 'Revenue &amp; COGS Building'!U$67</f>
        <v>220.5</v>
      </c>
      <c r="Q21" s="445">
        <f>CHOOSE(Q$5, $E21, $F21, $G21, $H21, $I21) * 'Revenue &amp; COGS Building'!V$67</f>
        <v>245.15</v>
      </c>
      <c r="R21" s="445">
        <f>CHOOSE(R$5, $E21, $F21, $G21, $H21, $I21) * 'Revenue &amp; COGS Building'!W$67</f>
        <v>269.8</v>
      </c>
      <c r="S21" s="445">
        <f>CHOOSE(S$5, $E21, $F21, $G21, $H21, $I21) * 'Revenue &amp; COGS Building'!X$67</f>
        <v>294.45</v>
      </c>
      <c r="T21" s="445">
        <f>CHOOSE(T$5, $E21, $F21, $G21, $H21, $I21) * 'Revenue &amp; COGS Building'!Y$67</f>
        <v>319.10000000000002</v>
      </c>
      <c r="U21" s="445">
        <f>CHOOSE(U$5, $E21, $F21, $G21, $H21, $I21) * 'Revenue &amp; COGS Building'!Z$67</f>
        <v>343.75</v>
      </c>
      <c r="V21" s="445">
        <f>CHOOSE(V$5, $E21, $F21, $G21, $H21, $I21) * 'Revenue &amp; COGS Building'!AA$67</f>
        <v>587.1</v>
      </c>
      <c r="W21" s="445">
        <f>CHOOSE(W$5, $E21, $F21, $G21, $H21, $I21) * 'Revenue &amp; COGS Building'!AB$67</f>
        <v>637.65</v>
      </c>
      <c r="X21" s="445">
        <f>CHOOSE(X$5, $E21, $F21, $G21, $H21, $I21) * 'Revenue &amp; COGS Building'!AC$67</f>
        <v>688.2</v>
      </c>
      <c r="Y21" s="445">
        <f>CHOOSE(Y$5, $E21, $F21, $G21, $H21, $I21) * 'Revenue &amp; COGS Building'!AD$67</f>
        <v>738.75</v>
      </c>
      <c r="Z21" s="445">
        <f>CHOOSE(Z$5, $E21, $F21, $G21, $H21, $I21) * 'Revenue &amp; COGS Building'!AE$67</f>
        <v>784.80000000000007</v>
      </c>
      <c r="AA21" s="445">
        <f>CHOOSE(AA$5, $E21, $F21, $G21, $H21, $I21) * 'Revenue &amp; COGS Building'!AF$67</f>
        <v>829.05000000000007</v>
      </c>
      <c r="AB21" s="445">
        <f>CHOOSE(AB$5, $E21, $F21, $G21, $H21, $I21) * 'Revenue &amp; COGS Building'!AG$67</f>
        <v>873.30000000000007</v>
      </c>
      <c r="AC21" s="445">
        <f>CHOOSE(AC$5, $E21, $F21, $G21, $H21, $I21) * 'Revenue &amp; COGS Building'!AH$67</f>
        <v>917.55000000000007</v>
      </c>
      <c r="AD21" s="445">
        <f>CHOOSE(AD$5, $E21, $F21, $G21, $H21, $I21) * 'Revenue &amp; COGS Building'!AI$67</f>
        <v>961.77500000000009</v>
      </c>
      <c r="AE21" s="445">
        <f>CHOOSE(AE$5, $E21, $F21, $G21, $H21, $I21) * 'Revenue &amp; COGS Building'!AJ$67</f>
        <v>1006</v>
      </c>
      <c r="AF21" s="445">
        <f>CHOOSE(AF$5, $E21, $F21, $G21, $H21, $I21) * 'Revenue &amp; COGS Building'!AK$67</f>
        <v>1050.2249999999999</v>
      </c>
      <c r="AG21" s="445">
        <f>CHOOSE(AG$5, $E21, $F21, $G21, $H21, $I21) * 'Revenue &amp; COGS Building'!AL$67</f>
        <v>1094.45</v>
      </c>
      <c r="AH21" s="445">
        <f>CHOOSE(AH$5, $E21, $F21, $G21, $H21, $I21) * 'Revenue &amp; COGS Building'!AM$67</f>
        <v>1234.075</v>
      </c>
      <c r="AI21" s="445">
        <f>CHOOSE(AI$5, $E21, $F21, $G21, $H21, $I21) * 'Revenue &amp; COGS Building'!AN$67</f>
        <v>1291.875</v>
      </c>
      <c r="AJ21" s="445">
        <f>CHOOSE(AJ$5, $E21, $F21, $G21, $H21, $I21) * 'Revenue &amp; COGS Building'!AO$67</f>
        <v>1349.6750000000002</v>
      </c>
      <c r="AK21" s="445">
        <f>CHOOSE(AK$5, $E21, $F21, $G21, $H21, $I21) * 'Revenue &amp; COGS Building'!AP$67</f>
        <v>1407.4749999999999</v>
      </c>
      <c r="AL21" s="445">
        <f>CHOOSE(AL$5, $E21, $F21, $G21, $H21, $I21) * 'Revenue &amp; COGS Building'!AQ$67</f>
        <v>1465.2750000000001</v>
      </c>
      <c r="AM21" s="445">
        <f>CHOOSE(AM$5, $E21, $F21, $G21, $H21, $I21) * 'Revenue &amp; COGS Building'!AR$67</f>
        <v>1523.075</v>
      </c>
      <c r="AN21" s="445">
        <f>CHOOSE(AN$5, $E21, $F21, $G21, $H21, $I21) * 'Revenue &amp; COGS Building'!AS$67</f>
        <v>1580.8500000000001</v>
      </c>
      <c r="AO21" s="445">
        <f>CHOOSE(AO$5, $E21, $F21, $G21, $H21, $I21) * 'Revenue &amp; COGS Building'!AT$67</f>
        <v>1638.6250000000002</v>
      </c>
      <c r="AP21" s="445">
        <f>CHOOSE(AP$5, $E21, $F21, $G21, $H21, $I21) * 'Revenue &amp; COGS Building'!AU$67</f>
        <v>1696.3999999999999</v>
      </c>
      <c r="AQ21" s="445">
        <f>CHOOSE(AQ$5, $E21, $F21, $G21, $H21, $I21) * 'Revenue &amp; COGS Building'!AV$67</f>
        <v>1754.175</v>
      </c>
      <c r="AR21" s="445">
        <f>CHOOSE(AR$5, $E21, $F21, $G21, $H21, $I21) * 'Revenue &amp; COGS Building'!AW$67</f>
        <v>1811.95</v>
      </c>
      <c r="AS21" s="445">
        <f>CHOOSE(AS$5, $E21, $F21, $G21, $H21, $I21) * 'Revenue &amp; COGS Building'!AX$67</f>
        <v>1869.7249999999999</v>
      </c>
    </row>
    <row r="22" spans="1:45" s="11" customFormat="1" ht="15">
      <c r="A22" s="65"/>
      <c r="B22" s="105" t="s">
        <v>207</v>
      </c>
      <c r="C22" s="441">
        <f t="shared" si="1"/>
        <v>38.5</v>
      </c>
      <c r="D22" s="463" t="s">
        <v>346</v>
      </c>
      <c r="E22" s="465">
        <f>+C22/'Historicals &amp; Projections'!$D$40</f>
        <v>3.5000000000000001E-3</v>
      </c>
      <c r="F22" s="465">
        <v>3.5000000000000001E-3</v>
      </c>
      <c r="G22" s="465">
        <v>3.5000000000000001E-3</v>
      </c>
      <c r="H22" s="465">
        <v>3.5000000000000001E-3</v>
      </c>
      <c r="I22" s="465">
        <v>3.5000000000000001E-3</v>
      </c>
      <c r="J22" s="445">
        <f>CHOOSE(J$5, $E22, $F22, $G22, $H22, $I22) * 'Revenue &amp; COGS Building'!O$67</f>
        <v>84.583333333333343</v>
      </c>
      <c r="K22" s="445">
        <f>CHOOSE(K$5, $E22, $F22, $G22, $H22, $I22) * 'Revenue &amp; COGS Building'!P$67</f>
        <v>113.37083333333334</v>
      </c>
      <c r="L22" s="445">
        <f>CHOOSE(L$5, $E22, $F22, $G22, $H22, $I22) * 'Revenue &amp; COGS Building'!Q$67</f>
        <v>142.15833333333333</v>
      </c>
      <c r="M22" s="445">
        <f>CHOOSE(M$5, $E22, $F22, $G22, $H22, $I22) * 'Revenue &amp; COGS Building'!R$67</f>
        <v>170.94583333333333</v>
      </c>
      <c r="N22" s="445">
        <f>CHOOSE(N$5, $E22, $F22, $G22, $H22, $I22) * 'Revenue &amp; COGS Building'!S$67</f>
        <v>199.73333333333332</v>
      </c>
      <c r="O22" s="445">
        <f>CHOOSE(O$5, $E22, $F22, $G22, $H22, $I22) * 'Revenue &amp; COGS Building'!T$67</f>
        <v>228.49166666666667</v>
      </c>
      <c r="P22" s="445">
        <f>CHOOSE(P$5, $E22, $F22, $G22, $H22, $I22) * 'Revenue &amp; COGS Building'!U$67</f>
        <v>257.25</v>
      </c>
      <c r="Q22" s="445">
        <f>CHOOSE(Q$5, $E22, $F22, $G22, $H22, $I22) * 'Revenue &amp; COGS Building'!V$67</f>
        <v>286.00833333333338</v>
      </c>
      <c r="R22" s="445">
        <f>CHOOSE(R$5, $E22, $F22, $G22, $H22, $I22) * 'Revenue &amp; COGS Building'!W$67</f>
        <v>314.76666666666665</v>
      </c>
      <c r="S22" s="445">
        <f>CHOOSE(S$5, $E22, $F22, $G22, $H22, $I22) * 'Revenue &amp; COGS Building'!X$67</f>
        <v>343.52500000000003</v>
      </c>
      <c r="T22" s="445">
        <f>CHOOSE(T$5, $E22, $F22, $G22, $H22, $I22) * 'Revenue &amp; COGS Building'!Y$67</f>
        <v>372.28333333333336</v>
      </c>
      <c r="U22" s="445">
        <f>CHOOSE(U$5, $E22, $F22, $G22, $H22, $I22) * 'Revenue &amp; COGS Building'!Z$67</f>
        <v>401.04166666666669</v>
      </c>
      <c r="V22" s="445">
        <f>CHOOSE(V$5, $E22, $F22, $G22, $H22, $I22) * 'Revenue &amp; COGS Building'!AA$67</f>
        <v>684.95</v>
      </c>
      <c r="W22" s="445">
        <f>CHOOSE(W$5, $E22, $F22, $G22, $H22, $I22) * 'Revenue &amp; COGS Building'!AB$67</f>
        <v>743.92500000000007</v>
      </c>
      <c r="X22" s="445">
        <f>CHOOSE(X$5, $E22, $F22, $G22, $H22, $I22) * 'Revenue &amp; COGS Building'!AC$67</f>
        <v>802.9</v>
      </c>
      <c r="Y22" s="445">
        <f>CHOOSE(Y$5, $E22, $F22, $G22, $H22, $I22) * 'Revenue &amp; COGS Building'!AD$67</f>
        <v>861.875</v>
      </c>
      <c r="Z22" s="445">
        <f>CHOOSE(Z$5, $E22, $F22, $G22, $H22, $I22) * 'Revenue &amp; COGS Building'!AE$67</f>
        <v>915.6</v>
      </c>
      <c r="AA22" s="445">
        <f>CHOOSE(AA$5, $E22, $F22, $G22, $H22, $I22) * 'Revenue &amp; COGS Building'!AF$67</f>
        <v>967.22500000000002</v>
      </c>
      <c r="AB22" s="445">
        <f>CHOOSE(AB$5, $E22, $F22, $G22, $H22, $I22) * 'Revenue &amp; COGS Building'!AG$67</f>
        <v>1018.85</v>
      </c>
      <c r="AC22" s="445">
        <f>CHOOSE(AC$5, $E22, $F22, $G22, $H22, $I22) * 'Revenue &amp; COGS Building'!AH$67</f>
        <v>1070.4749999999999</v>
      </c>
      <c r="AD22" s="445">
        <f>CHOOSE(AD$5, $E22, $F22, $G22, $H22, $I22) * 'Revenue &amp; COGS Building'!AI$67</f>
        <v>1122.0708333333334</v>
      </c>
      <c r="AE22" s="445">
        <f>CHOOSE(AE$5, $E22, $F22, $G22, $H22, $I22) * 'Revenue &amp; COGS Building'!AJ$67</f>
        <v>1173.6666666666665</v>
      </c>
      <c r="AF22" s="445">
        <f>CHOOSE(AF$5, $E22, $F22, $G22, $H22, $I22) * 'Revenue &amp; COGS Building'!AK$67</f>
        <v>1225.2625</v>
      </c>
      <c r="AG22" s="445">
        <f>CHOOSE(AG$5, $E22, $F22, $G22, $H22, $I22) * 'Revenue &amp; COGS Building'!AL$67</f>
        <v>1276.8583333333333</v>
      </c>
      <c r="AH22" s="445">
        <f>CHOOSE(AH$5, $E22, $F22, $G22, $H22, $I22) * 'Revenue &amp; COGS Building'!AM$67</f>
        <v>1439.7541666666666</v>
      </c>
      <c r="AI22" s="445">
        <f>CHOOSE(AI$5, $E22, $F22, $G22, $H22, $I22) * 'Revenue &amp; COGS Building'!AN$67</f>
        <v>1507.1875</v>
      </c>
      <c r="AJ22" s="445">
        <f>CHOOSE(AJ$5, $E22, $F22, $G22, $H22, $I22) * 'Revenue &amp; COGS Building'!AO$67</f>
        <v>1574.6208333333334</v>
      </c>
      <c r="AK22" s="445">
        <f>CHOOSE(AK$5, $E22, $F22, $G22, $H22, $I22) * 'Revenue &amp; COGS Building'!AP$67</f>
        <v>1642.0541666666666</v>
      </c>
      <c r="AL22" s="445">
        <f>CHOOSE(AL$5, $E22, $F22, $G22, $H22, $I22) * 'Revenue &amp; COGS Building'!AQ$67</f>
        <v>1709.4875</v>
      </c>
      <c r="AM22" s="445">
        <f>CHOOSE(AM$5, $E22, $F22, $G22, $H22, $I22) * 'Revenue &amp; COGS Building'!AR$67</f>
        <v>1776.9208333333333</v>
      </c>
      <c r="AN22" s="445">
        <f>CHOOSE(AN$5, $E22, $F22, $G22, $H22, $I22) * 'Revenue &amp; COGS Building'!AS$67</f>
        <v>1844.325</v>
      </c>
      <c r="AO22" s="445">
        <f>CHOOSE(AO$5, $E22, $F22, $G22, $H22, $I22) * 'Revenue &amp; COGS Building'!AT$67</f>
        <v>1911.7291666666667</v>
      </c>
      <c r="AP22" s="445">
        <f>CHOOSE(AP$5, $E22, $F22, $G22, $H22, $I22) * 'Revenue &amp; COGS Building'!AU$67</f>
        <v>1979.1333333333332</v>
      </c>
      <c r="AQ22" s="445">
        <f>CHOOSE(AQ$5, $E22, $F22, $G22, $H22, $I22) * 'Revenue &amp; COGS Building'!AV$67</f>
        <v>2046.5375000000001</v>
      </c>
      <c r="AR22" s="445">
        <f>CHOOSE(AR$5, $E22, $F22, $G22, $H22, $I22) * 'Revenue &amp; COGS Building'!AW$67</f>
        <v>2113.9416666666671</v>
      </c>
      <c r="AS22" s="445">
        <f>CHOOSE(AS$5, $E22, $F22, $G22, $H22, $I22) * 'Revenue &amp; COGS Building'!AX$67</f>
        <v>2181.3458333333333</v>
      </c>
    </row>
    <row r="23" spans="1:45" s="11" customFormat="1" ht="15">
      <c r="A23" s="65"/>
      <c r="B23" s="109" t="s">
        <v>186</v>
      </c>
      <c r="C23" s="443">
        <f>SUM(C9:C22)</f>
        <v>53145</v>
      </c>
      <c r="D23" s="443"/>
      <c r="E23" s="443"/>
      <c r="F23" s="443"/>
      <c r="G23" s="443"/>
      <c r="H23" s="443"/>
      <c r="I23" s="443"/>
      <c r="J23" s="443">
        <f t="shared" ref="J23:AS23" si="2">SUM(J9:J22)</f>
        <v>5665.8454545454524</v>
      </c>
      <c r="K23" s="443">
        <f t="shared" si="2"/>
        <v>6148.1295454545452</v>
      </c>
      <c r="L23" s="443">
        <f t="shared" si="2"/>
        <v>6630.4136363636399</v>
      </c>
      <c r="M23" s="443">
        <f t="shared" si="2"/>
        <v>7112.6977272727263</v>
      </c>
      <c r="N23" s="443">
        <f t="shared" si="2"/>
        <v>7594.9818181818191</v>
      </c>
      <c r="O23" s="443">
        <f t="shared" si="2"/>
        <v>8076.7772727272741</v>
      </c>
      <c r="P23" s="443">
        <f t="shared" si="2"/>
        <v>8558.5727272727272</v>
      </c>
      <c r="Q23" s="443">
        <f t="shared" si="2"/>
        <v>9040.3681818181813</v>
      </c>
      <c r="R23" s="443">
        <f t="shared" si="2"/>
        <v>9522.1636363636335</v>
      </c>
      <c r="S23" s="443">
        <f t="shared" si="2"/>
        <v>10003.959090909089</v>
      </c>
      <c r="T23" s="443">
        <f t="shared" si="2"/>
        <v>10485.754545454547</v>
      </c>
      <c r="U23" s="443">
        <f t="shared" si="2"/>
        <v>10967.550000000001</v>
      </c>
      <c r="V23" s="443">
        <f t="shared" si="2"/>
        <v>16763.8864469697</v>
      </c>
      <c r="W23" s="443">
        <f t="shared" si="2"/>
        <v>17751.909174242421</v>
      </c>
      <c r="X23" s="443">
        <f t="shared" si="2"/>
        <v>18739.931901515156</v>
      </c>
      <c r="Y23" s="443">
        <f t="shared" si="2"/>
        <v>19727.954628787877</v>
      </c>
      <c r="Z23" s="443">
        <f t="shared" si="2"/>
        <v>20628.02281060606</v>
      </c>
      <c r="AA23" s="443">
        <f t="shared" si="2"/>
        <v>21492.909174242424</v>
      </c>
      <c r="AB23" s="443">
        <f t="shared" si="2"/>
        <v>22357.795537878785</v>
      </c>
      <c r="AC23" s="443">
        <f t="shared" si="2"/>
        <v>23222.681901515145</v>
      </c>
      <c r="AD23" s="443">
        <f t="shared" si="2"/>
        <v>24087.079628787884</v>
      </c>
      <c r="AE23" s="443">
        <f t="shared" si="2"/>
        <v>24951.477356060605</v>
      </c>
      <c r="AF23" s="443">
        <f t="shared" si="2"/>
        <v>25815.875083333336</v>
      </c>
      <c r="AG23" s="443">
        <f t="shared" si="2"/>
        <v>26680.272810606064</v>
      </c>
      <c r="AH23" s="443">
        <f t="shared" si="2"/>
        <v>29338.752538181812</v>
      </c>
      <c r="AI23" s="443">
        <f t="shared" si="2"/>
        <v>30468.479810909095</v>
      </c>
      <c r="AJ23" s="443">
        <f t="shared" si="2"/>
        <v>31598.207083636364</v>
      </c>
      <c r="AK23" s="443">
        <f t="shared" si="2"/>
        <v>32727.934356363632</v>
      </c>
      <c r="AL23" s="443">
        <f t="shared" si="2"/>
        <v>33857.661629090908</v>
      </c>
      <c r="AM23" s="443">
        <f t="shared" si="2"/>
        <v>34987.38890181818</v>
      </c>
      <c r="AN23" s="443">
        <f t="shared" si="2"/>
        <v>36116.62753818182</v>
      </c>
      <c r="AO23" s="443">
        <f t="shared" si="2"/>
        <v>37245.866174545452</v>
      </c>
      <c r="AP23" s="443">
        <f t="shared" si="2"/>
        <v>38375.104810909092</v>
      </c>
      <c r="AQ23" s="443">
        <f t="shared" si="2"/>
        <v>39504.343447272724</v>
      </c>
      <c r="AR23" s="443">
        <f t="shared" si="2"/>
        <v>40633.582083636364</v>
      </c>
      <c r="AS23" s="443">
        <f t="shared" si="2"/>
        <v>41762.820719999996</v>
      </c>
    </row>
    <row r="24" spans="1:45" s="11" customFormat="1" ht="15">
      <c r="A24" s="65"/>
      <c r="B24" s="62"/>
      <c r="C24" s="62"/>
      <c r="D24" s="62"/>
      <c r="E24" s="62"/>
      <c r="F24" s="62"/>
      <c r="G24" s="62"/>
      <c r="H24" s="62"/>
      <c r="I24" s="62"/>
      <c r="J24" s="108"/>
      <c r="K24" s="108"/>
      <c r="L24" s="108"/>
      <c r="M24" s="108"/>
      <c r="N24" s="108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</row>
    <row r="25" spans="1:45" ht="15">
      <c r="A25" s="59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</row>
    <row r="26" spans="1:45" ht="15">
      <c r="A26" s="59"/>
      <c r="B26" s="66" t="s">
        <v>248</v>
      </c>
      <c r="C26" s="99"/>
      <c r="D26" s="116"/>
      <c r="E26" s="116"/>
      <c r="F26" s="116"/>
      <c r="G26" s="116"/>
      <c r="H26" s="116"/>
      <c r="I26" s="116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</row>
    <row r="27" spans="1:45" ht="15">
      <c r="A27" s="59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6" thickBot="1">
      <c r="A28" s="59"/>
      <c r="B28" s="346" t="s">
        <v>82</v>
      </c>
      <c r="C28" s="347">
        <f>+C6</f>
        <v>2025</v>
      </c>
      <c r="D28" s="347" t="s">
        <v>340</v>
      </c>
      <c r="E28" s="347">
        <f>E6</f>
        <v>2026</v>
      </c>
      <c r="F28" s="347">
        <f>F6</f>
        <v>2027</v>
      </c>
      <c r="G28" s="347">
        <f>G6</f>
        <v>2028</v>
      </c>
      <c r="H28" s="347">
        <f>H6</f>
        <v>2029</v>
      </c>
      <c r="I28" s="347">
        <f>I6</f>
        <v>2030</v>
      </c>
      <c r="J28" s="348">
        <f t="shared" ref="J28:AS28" si="3">J3</f>
        <v>46053</v>
      </c>
      <c r="K28" s="348">
        <f t="shared" si="3"/>
        <v>46054</v>
      </c>
      <c r="L28" s="348">
        <f t="shared" si="3"/>
        <v>46082</v>
      </c>
      <c r="M28" s="348">
        <f t="shared" si="3"/>
        <v>46113</v>
      </c>
      <c r="N28" s="348">
        <f t="shared" si="3"/>
        <v>46143</v>
      </c>
      <c r="O28" s="348">
        <f t="shared" si="3"/>
        <v>46174</v>
      </c>
      <c r="P28" s="348">
        <f t="shared" si="3"/>
        <v>46204</v>
      </c>
      <c r="Q28" s="348">
        <f t="shared" si="3"/>
        <v>46235</v>
      </c>
      <c r="R28" s="348">
        <f t="shared" si="3"/>
        <v>46266</v>
      </c>
      <c r="S28" s="348">
        <f t="shared" si="3"/>
        <v>46296</v>
      </c>
      <c r="T28" s="348">
        <f t="shared" si="3"/>
        <v>46327</v>
      </c>
      <c r="U28" s="348">
        <f t="shared" si="3"/>
        <v>46357</v>
      </c>
      <c r="V28" s="348">
        <f t="shared" si="3"/>
        <v>46388</v>
      </c>
      <c r="W28" s="348">
        <f t="shared" si="3"/>
        <v>46419</v>
      </c>
      <c r="X28" s="348">
        <f t="shared" si="3"/>
        <v>46447</v>
      </c>
      <c r="Y28" s="348">
        <f t="shared" si="3"/>
        <v>46478</v>
      </c>
      <c r="Z28" s="348">
        <f t="shared" si="3"/>
        <v>46508</v>
      </c>
      <c r="AA28" s="348">
        <f t="shared" si="3"/>
        <v>46539</v>
      </c>
      <c r="AB28" s="348">
        <f t="shared" si="3"/>
        <v>46569</v>
      </c>
      <c r="AC28" s="348">
        <f t="shared" si="3"/>
        <v>46600</v>
      </c>
      <c r="AD28" s="348">
        <f t="shared" si="3"/>
        <v>46631</v>
      </c>
      <c r="AE28" s="348">
        <f t="shared" si="3"/>
        <v>46661</v>
      </c>
      <c r="AF28" s="348">
        <f t="shared" si="3"/>
        <v>46692</v>
      </c>
      <c r="AG28" s="348">
        <f t="shared" si="3"/>
        <v>46722</v>
      </c>
      <c r="AH28" s="348">
        <f t="shared" si="3"/>
        <v>46753</v>
      </c>
      <c r="AI28" s="348">
        <f t="shared" si="3"/>
        <v>46784</v>
      </c>
      <c r="AJ28" s="348">
        <f t="shared" si="3"/>
        <v>46813</v>
      </c>
      <c r="AK28" s="348">
        <f t="shared" si="3"/>
        <v>46844</v>
      </c>
      <c r="AL28" s="348">
        <f t="shared" si="3"/>
        <v>46874</v>
      </c>
      <c r="AM28" s="348">
        <f t="shared" si="3"/>
        <v>46905</v>
      </c>
      <c r="AN28" s="348">
        <f t="shared" si="3"/>
        <v>46935</v>
      </c>
      <c r="AO28" s="348">
        <f t="shared" si="3"/>
        <v>46966</v>
      </c>
      <c r="AP28" s="348">
        <f t="shared" si="3"/>
        <v>46997</v>
      </c>
      <c r="AQ28" s="348">
        <f t="shared" si="3"/>
        <v>47027</v>
      </c>
      <c r="AR28" s="348">
        <f t="shared" si="3"/>
        <v>47058</v>
      </c>
      <c r="AS28" s="348">
        <f t="shared" si="3"/>
        <v>47088</v>
      </c>
    </row>
    <row r="29" spans="1:45" ht="15">
      <c r="A29" s="59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104"/>
      <c r="M29" s="62"/>
      <c r="N29" s="6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</row>
    <row r="30" spans="1:45" ht="15">
      <c r="A30" s="59"/>
      <c r="B30" s="62"/>
      <c r="C30" s="114" t="str">
        <f>C8</f>
        <v>Last month in period expenses</v>
      </c>
      <c r="D30" s="117"/>
      <c r="E30" s="117"/>
      <c r="F30" s="117"/>
      <c r="G30" s="117"/>
      <c r="H30" s="117"/>
      <c r="I30" s="117"/>
      <c r="J30" s="118"/>
      <c r="K30" s="118"/>
      <c r="L30" s="118"/>
      <c r="M30" s="117"/>
      <c r="N30" s="117"/>
      <c r="O30" s="79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</row>
    <row r="31" spans="1:45" ht="15">
      <c r="A31" s="59"/>
      <c r="B31" s="105" t="s">
        <v>201</v>
      </c>
      <c r="C31" s="442">
        <f>'Salaries &amp; Headcount'!E34</f>
        <v>843000</v>
      </c>
      <c r="D31" s="463" t="s">
        <v>345</v>
      </c>
      <c r="E31" s="463"/>
      <c r="F31" s="463"/>
      <c r="G31" s="463"/>
      <c r="H31" s="463"/>
      <c r="I31" s="463"/>
      <c r="J31" s="445">
        <f>+'Salaries &amp; Headcount'!P34</f>
        <v>83805.333333333358</v>
      </c>
      <c r="K31" s="445">
        <f>+'Salaries &amp; Headcount'!Q34</f>
        <v>83805.333333333358</v>
      </c>
      <c r="L31" s="445">
        <f>+'Salaries &amp; Headcount'!R34</f>
        <v>83805.333333333358</v>
      </c>
      <c r="M31" s="445">
        <f>+'Salaries &amp; Headcount'!S34</f>
        <v>83805.333333333358</v>
      </c>
      <c r="N31" s="445">
        <f>+'Salaries &amp; Headcount'!T34</f>
        <v>83805.333333333358</v>
      </c>
      <c r="O31" s="445">
        <f>+'Salaries &amp; Headcount'!U34</f>
        <v>83805.333333333358</v>
      </c>
      <c r="P31" s="445">
        <f>+'Salaries &amp; Headcount'!V34</f>
        <v>83805.333333333358</v>
      </c>
      <c r="Q31" s="445">
        <f>+'Salaries &amp; Headcount'!W34</f>
        <v>83805.333333333358</v>
      </c>
      <c r="R31" s="445">
        <f>+'Salaries &amp; Headcount'!X34</f>
        <v>83805.333333333358</v>
      </c>
      <c r="S31" s="445">
        <f>+'Salaries &amp; Headcount'!Y34</f>
        <v>83805.333333333358</v>
      </c>
      <c r="T31" s="445">
        <f>+'Salaries &amp; Headcount'!Z34</f>
        <v>83805.333333333358</v>
      </c>
      <c r="U31" s="445">
        <f>+'Salaries &amp; Headcount'!AA34</f>
        <v>83805.333333333358</v>
      </c>
      <c r="V31" s="445">
        <f>+'Salaries &amp; Headcount'!AB34</f>
        <v>70605.773333333345</v>
      </c>
      <c r="W31" s="445">
        <f>+'Salaries &amp; Headcount'!AC34</f>
        <v>70605.773333333345</v>
      </c>
      <c r="X31" s="445">
        <f>+'Salaries &amp; Headcount'!AD34</f>
        <v>70605.773333333345</v>
      </c>
      <c r="Y31" s="445">
        <f>+'Salaries &amp; Headcount'!AE34</f>
        <v>70605.773333333345</v>
      </c>
      <c r="Z31" s="445">
        <f>+'Salaries &amp; Headcount'!AF34</f>
        <v>70605.773333333345</v>
      </c>
      <c r="AA31" s="445">
        <f>+'Salaries &amp; Headcount'!AG34</f>
        <v>70605.773333333345</v>
      </c>
      <c r="AB31" s="445">
        <f>+'Salaries &amp; Headcount'!AH34</f>
        <v>70605.773333333345</v>
      </c>
      <c r="AC31" s="445">
        <f>+'Salaries &amp; Headcount'!AI34</f>
        <v>70605.773333333345</v>
      </c>
      <c r="AD31" s="445">
        <f>+'Salaries &amp; Headcount'!AJ34</f>
        <v>70605.773333333345</v>
      </c>
      <c r="AE31" s="445">
        <f>+'Salaries &amp; Headcount'!AK34</f>
        <v>70605.773333333345</v>
      </c>
      <c r="AF31" s="445">
        <f>+'Salaries &amp; Headcount'!AL34</f>
        <v>70605.773333333345</v>
      </c>
      <c r="AG31" s="445">
        <f>+'Salaries &amp; Headcount'!AM34</f>
        <v>70605.773333333345</v>
      </c>
      <c r="AH31" s="445">
        <f>+'Salaries &amp; Headcount'!AN34</f>
        <v>82216.588300000003</v>
      </c>
      <c r="AI31" s="445">
        <f>+'Salaries &amp; Headcount'!AO34</f>
        <v>82216.588300000003</v>
      </c>
      <c r="AJ31" s="445">
        <f>+'Salaries &amp; Headcount'!AP34</f>
        <v>82216.588300000003</v>
      </c>
      <c r="AK31" s="445">
        <f>+'Salaries &amp; Headcount'!AQ34</f>
        <v>82216.588300000003</v>
      </c>
      <c r="AL31" s="445">
        <f>+'Salaries &amp; Headcount'!AR34</f>
        <v>82216.588300000003</v>
      </c>
      <c r="AM31" s="445">
        <f>+'Salaries &amp; Headcount'!AS34</f>
        <v>82216.588300000003</v>
      </c>
      <c r="AN31" s="445">
        <f>+'Salaries &amp; Headcount'!AT34</f>
        <v>82216.588300000003</v>
      </c>
      <c r="AO31" s="445">
        <f>+'Salaries &amp; Headcount'!AU34</f>
        <v>82216.588300000003</v>
      </c>
      <c r="AP31" s="445">
        <f>+'Salaries &amp; Headcount'!AV34</f>
        <v>82216.588300000003</v>
      </c>
      <c r="AQ31" s="445">
        <f>+'Salaries &amp; Headcount'!AW34</f>
        <v>82216.588300000003</v>
      </c>
      <c r="AR31" s="445">
        <f>+'Salaries &amp; Headcount'!AX34</f>
        <v>82216.588300000003</v>
      </c>
      <c r="AS31" s="445">
        <f>+'Salaries &amp; Headcount'!AY34</f>
        <v>82216.588300000003</v>
      </c>
    </row>
    <row r="32" spans="1:45" ht="15">
      <c r="A32" s="59"/>
      <c r="B32" s="105" t="s">
        <v>202</v>
      </c>
      <c r="C32" s="441">
        <v>12000</v>
      </c>
      <c r="D32" s="463" t="s">
        <v>349</v>
      </c>
      <c r="E32" s="464">
        <f>10%</f>
        <v>0.1</v>
      </c>
      <c r="F32" s="464">
        <f>10%</f>
        <v>0.1</v>
      </c>
      <c r="G32" s="464">
        <f>10%</f>
        <v>0.1</v>
      </c>
      <c r="H32" s="464">
        <f>10%</f>
        <v>0.1</v>
      </c>
      <c r="I32" s="464">
        <f>10%</f>
        <v>0.1</v>
      </c>
      <c r="J32" s="445">
        <f>($C32 / 12) * (1 + CHOOSE(J$5, $E32, $F32, $G32, $H32, $I32))</f>
        <v>1100</v>
      </c>
      <c r="K32" s="445">
        <f t="shared" ref="K32:AS39" si="4">($C32 / 12) * (1 + CHOOSE(K$5, $E32, $F32, $G32, $H32, $I32))</f>
        <v>1100</v>
      </c>
      <c r="L32" s="445">
        <f t="shared" si="4"/>
        <v>1100</v>
      </c>
      <c r="M32" s="445">
        <f t="shared" si="4"/>
        <v>1100</v>
      </c>
      <c r="N32" s="445">
        <f t="shared" si="4"/>
        <v>1100</v>
      </c>
      <c r="O32" s="445">
        <f t="shared" si="4"/>
        <v>1100</v>
      </c>
      <c r="P32" s="445">
        <f t="shared" si="4"/>
        <v>1100</v>
      </c>
      <c r="Q32" s="445">
        <f t="shared" si="4"/>
        <v>1100</v>
      </c>
      <c r="R32" s="445">
        <f t="shared" si="4"/>
        <v>1100</v>
      </c>
      <c r="S32" s="445">
        <f t="shared" si="4"/>
        <v>1100</v>
      </c>
      <c r="T32" s="445">
        <f t="shared" si="4"/>
        <v>1100</v>
      </c>
      <c r="U32" s="445">
        <f t="shared" si="4"/>
        <v>1100</v>
      </c>
      <c r="V32" s="445">
        <f t="shared" si="4"/>
        <v>1100</v>
      </c>
      <c r="W32" s="445">
        <f t="shared" si="4"/>
        <v>1100</v>
      </c>
      <c r="X32" s="445">
        <f t="shared" si="4"/>
        <v>1100</v>
      </c>
      <c r="Y32" s="445">
        <f t="shared" si="4"/>
        <v>1100</v>
      </c>
      <c r="Z32" s="445">
        <f t="shared" si="4"/>
        <v>1100</v>
      </c>
      <c r="AA32" s="445">
        <f t="shared" si="4"/>
        <v>1100</v>
      </c>
      <c r="AB32" s="445">
        <f t="shared" si="4"/>
        <v>1100</v>
      </c>
      <c r="AC32" s="445">
        <f t="shared" si="4"/>
        <v>1100</v>
      </c>
      <c r="AD32" s="445">
        <f t="shared" si="4"/>
        <v>1100</v>
      </c>
      <c r="AE32" s="445">
        <f t="shared" si="4"/>
        <v>1100</v>
      </c>
      <c r="AF32" s="445">
        <f t="shared" si="4"/>
        <v>1100</v>
      </c>
      <c r="AG32" s="445">
        <f t="shared" si="4"/>
        <v>1100</v>
      </c>
      <c r="AH32" s="445">
        <f t="shared" si="4"/>
        <v>1100</v>
      </c>
      <c r="AI32" s="445">
        <f t="shared" si="4"/>
        <v>1100</v>
      </c>
      <c r="AJ32" s="445">
        <f t="shared" si="4"/>
        <v>1100</v>
      </c>
      <c r="AK32" s="445">
        <f t="shared" si="4"/>
        <v>1100</v>
      </c>
      <c r="AL32" s="445">
        <f t="shared" si="4"/>
        <v>1100</v>
      </c>
      <c r="AM32" s="445">
        <f t="shared" si="4"/>
        <v>1100</v>
      </c>
      <c r="AN32" s="445">
        <f t="shared" si="4"/>
        <v>1100</v>
      </c>
      <c r="AO32" s="445">
        <f t="shared" si="4"/>
        <v>1100</v>
      </c>
      <c r="AP32" s="445">
        <f t="shared" si="4"/>
        <v>1100</v>
      </c>
      <c r="AQ32" s="445">
        <f t="shared" si="4"/>
        <v>1100</v>
      </c>
      <c r="AR32" s="445">
        <f t="shared" si="4"/>
        <v>1100</v>
      </c>
      <c r="AS32" s="445">
        <f t="shared" si="4"/>
        <v>1100</v>
      </c>
    </row>
    <row r="33" spans="1:45" ht="15">
      <c r="A33" s="59"/>
      <c r="B33" s="105" t="s">
        <v>204</v>
      </c>
      <c r="C33" s="441">
        <v>12000</v>
      </c>
      <c r="D33" s="463" t="s">
        <v>349</v>
      </c>
      <c r="E33" s="464">
        <v>0.12</v>
      </c>
      <c r="F33" s="464">
        <v>0.11</v>
      </c>
      <c r="G33" s="464">
        <v>0.12</v>
      </c>
      <c r="H33" s="464">
        <v>0.12</v>
      </c>
      <c r="I33" s="464">
        <v>0.12</v>
      </c>
      <c r="J33" s="445">
        <f t="shared" ref="J33:Y44" si="5">($C33 / 12) * (1 + CHOOSE(J$5, $E33, $F33, $G33, $H33, $I33))</f>
        <v>1120</v>
      </c>
      <c r="K33" s="445">
        <f t="shared" si="5"/>
        <v>1120</v>
      </c>
      <c r="L33" s="445">
        <f t="shared" si="5"/>
        <v>1120</v>
      </c>
      <c r="M33" s="445">
        <f t="shared" si="5"/>
        <v>1120</v>
      </c>
      <c r="N33" s="445">
        <f t="shared" si="5"/>
        <v>1120</v>
      </c>
      <c r="O33" s="445">
        <f t="shared" si="5"/>
        <v>1120</v>
      </c>
      <c r="P33" s="445">
        <f t="shared" si="5"/>
        <v>1120</v>
      </c>
      <c r="Q33" s="445">
        <f t="shared" si="5"/>
        <v>1120</v>
      </c>
      <c r="R33" s="445">
        <f t="shared" si="5"/>
        <v>1120</v>
      </c>
      <c r="S33" s="445">
        <f t="shared" si="5"/>
        <v>1120</v>
      </c>
      <c r="T33" s="445">
        <f t="shared" si="5"/>
        <v>1120</v>
      </c>
      <c r="U33" s="445">
        <f t="shared" si="5"/>
        <v>1120</v>
      </c>
      <c r="V33" s="445">
        <f t="shared" si="5"/>
        <v>1110</v>
      </c>
      <c r="W33" s="445">
        <f t="shared" si="5"/>
        <v>1110</v>
      </c>
      <c r="X33" s="445">
        <f t="shared" si="5"/>
        <v>1110</v>
      </c>
      <c r="Y33" s="445">
        <f t="shared" si="5"/>
        <v>1110</v>
      </c>
      <c r="Z33" s="445">
        <f t="shared" si="4"/>
        <v>1110</v>
      </c>
      <c r="AA33" s="445">
        <f t="shared" si="4"/>
        <v>1110</v>
      </c>
      <c r="AB33" s="445">
        <f t="shared" si="4"/>
        <v>1110</v>
      </c>
      <c r="AC33" s="445">
        <f t="shared" si="4"/>
        <v>1110</v>
      </c>
      <c r="AD33" s="445">
        <f t="shared" si="4"/>
        <v>1110</v>
      </c>
      <c r="AE33" s="445">
        <f t="shared" si="4"/>
        <v>1110</v>
      </c>
      <c r="AF33" s="445">
        <f t="shared" si="4"/>
        <v>1110</v>
      </c>
      <c r="AG33" s="445">
        <f t="shared" si="4"/>
        <v>1110</v>
      </c>
      <c r="AH33" s="445">
        <f t="shared" si="4"/>
        <v>1120</v>
      </c>
      <c r="AI33" s="445">
        <f t="shared" si="4"/>
        <v>1120</v>
      </c>
      <c r="AJ33" s="445">
        <f t="shared" si="4"/>
        <v>1120</v>
      </c>
      <c r="AK33" s="445">
        <f t="shared" si="4"/>
        <v>1120</v>
      </c>
      <c r="AL33" s="445">
        <f t="shared" si="4"/>
        <v>1120</v>
      </c>
      <c r="AM33" s="445">
        <f t="shared" si="4"/>
        <v>1120</v>
      </c>
      <c r="AN33" s="445">
        <f t="shared" si="4"/>
        <v>1120</v>
      </c>
      <c r="AO33" s="445">
        <f t="shared" si="4"/>
        <v>1120</v>
      </c>
      <c r="AP33" s="445">
        <f t="shared" si="4"/>
        <v>1120</v>
      </c>
      <c r="AQ33" s="445">
        <f t="shared" si="4"/>
        <v>1120</v>
      </c>
      <c r="AR33" s="445">
        <f t="shared" si="4"/>
        <v>1120</v>
      </c>
      <c r="AS33" s="445">
        <f t="shared" si="4"/>
        <v>1120</v>
      </c>
    </row>
    <row r="34" spans="1:45" ht="15">
      <c r="A34" s="59"/>
      <c r="B34" s="105" t="s">
        <v>203</v>
      </c>
      <c r="C34" s="441">
        <v>12000</v>
      </c>
      <c r="D34" s="463" t="s">
        <v>349</v>
      </c>
      <c r="E34" s="464">
        <f>10%</f>
        <v>0.1</v>
      </c>
      <c r="F34" s="464">
        <f>10%</f>
        <v>0.1</v>
      </c>
      <c r="G34" s="464">
        <f>10%</f>
        <v>0.1</v>
      </c>
      <c r="H34" s="464">
        <f>10%</f>
        <v>0.1</v>
      </c>
      <c r="I34" s="464">
        <f>10%</f>
        <v>0.1</v>
      </c>
      <c r="J34" s="445">
        <f t="shared" si="5"/>
        <v>1100</v>
      </c>
      <c r="K34" s="445">
        <f t="shared" si="4"/>
        <v>1100</v>
      </c>
      <c r="L34" s="445">
        <f t="shared" si="4"/>
        <v>1100</v>
      </c>
      <c r="M34" s="445">
        <f t="shared" si="4"/>
        <v>1100</v>
      </c>
      <c r="N34" s="445">
        <f t="shared" si="4"/>
        <v>1100</v>
      </c>
      <c r="O34" s="445">
        <f t="shared" si="4"/>
        <v>1100</v>
      </c>
      <c r="P34" s="445">
        <f t="shared" si="4"/>
        <v>1100</v>
      </c>
      <c r="Q34" s="445">
        <f t="shared" si="4"/>
        <v>1100</v>
      </c>
      <c r="R34" s="445">
        <f t="shared" si="4"/>
        <v>1100</v>
      </c>
      <c r="S34" s="445">
        <f t="shared" si="4"/>
        <v>1100</v>
      </c>
      <c r="T34" s="445">
        <f t="shared" si="4"/>
        <v>1100</v>
      </c>
      <c r="U34" s="445">
        <f t="shared" si="4"/>
        <v>1100</v>
      </c>
      <c r="V34" s="445">
        <f t="shared" si="4"/>
        <v>1100</v>
      </c>
      <c r="W34" s="445">
        <f t="shared" si="4"/>
        <v>1100</v>
      </c>
      <c r="X34" s="445">
        <f t="shared" si="4"/>
        <v>1100</v>
      </c>
      <c r="Y34" s="445">
        <f t="shared" si="4"/>
        <v>1100</v>
      </c>
      <c r="Z34" s="445">
        <f t="shared" si="4"/>
        <v>1100</v>
      </c>
      <c r="AA34" s="445">
        <f t="shared" si="4"/>
        <v>1100</v>
      </c>
      <c r="AB34" s="445">
        <f t="shared" si="4"/>
        <v>1100</v>
      </c>
      <c r="AC34" s="445">
        <f t="shared" si="4"/>
        <v>1100</v>
      </c>
      <c r="AD34" s="445">
        <f t="shared" si="4"/>
        <v>1100</v>
      </c>
      <c r="AE34" s="445">
        <f t="shared" si="4"/>
        <v>1100</v>
      </c>
      <c r="AF34" s="445">
        <f t="shared" si="4"/>
        <v>1100</v>
      </c>
      <c r="AG34" s="445">
        <f t="shared" si="4"/>
        <v>1100</v>
      </c>
      <c r="AH34" s="445">
        <f t="shared" si="4"/>
        <v>1100</v>
      </c>
      <c r="AI34" s="445">
        <f t="shared" si="4"/>
        <v>1100</v>
      </c>
      <c r="AJ34" s="445">
        <f t="shared" si="4"/>
        <v>1100</v>
      </c>
      <c r="AK34" s="445">
        <f t="shared" si="4"/>
        <v>1100</v>
      </c>
      <c r="AL34" s="445">
        <f t="shared" si="4"/>
        <v>1100</v>
      </c>
      <c r="AM34" s="445">
        <f t="shared" si="4"/>
        <v>1100</v>
      </c>
      <c r="AN34" s="445">
        <f t="shared" si="4"/>
        <v>1100</v>
      </c>
      <c r="AO34" s="445">
        <f t="shared" si="4"/>
        <v>1100</v>
      </c>
      <c r="AP34" s="445">
        <f t="shared" si="4"/>
        <v>1100</v>
      </c>
      <c r="AQ34" s="445">
        <f t="shared" si="4"/>
        <v>1100</v>
      </c>
      <c r="AR34" s="445">
        <f t="shared" si="4"/>
        <v>1100</v>
      </c>
      <c r="AS34" s="445">
        <f t="shared" si="4"/>
        <v>1100</v>
      </c>
    </row>
    <row r="35" spans="1:45" ht="15">
      <c r="A35" s="59"/>
      <c r="B35" s="105" t="s">
        <v>205</v>
      </c>
      <c r="C35" s="441">
        <v>12000</v>
      </c>
      <c r="D35" s="463" t="s">
        <v>349</v>
      </c>
      <c r="E35" s="464">
        <f>10%</f>
        <v>0.1</v>
      </c>
      <c r="F35" s="464">
        <f>10%</f>
        <v>0.1</v>
      </c>
      <c r="G35" s="464">
        <f>10%</f>
        <v>0.1</v>
      </c>
      <c r="H35" s="464">
        <f>10%</f>
        <v>0.1</v>
      </c>
      <c r="I35" s="464">
        <f>10%</f>
        <v>0.1</v>
      </c>
      <c r="J35" s="445">
        <f t="shared" si="5"/>
        <v>1100</v>
      </c>
      <c r="K35" s="445">
        <f t="shared" si="4"/>
        <v>1100</v>
      </c>
      <c r="L35" s="445">
        <f t="shared" si="4"/>
        <v>1100</v>
      </c>
      <c r="M35" s="445">
        <f t="shared" si="4"/>
        <v>1100</v>
      </c>
      <c r="N35" s="445">
        <f>($C35 / 12) * (1 + CHOOSE(N$5, $E35, $F35, $G35, $H35, $I35))</f>
        <v>1100</v>
      </c>
      <c r="O35" s="445">
        <f t="shared" si="4"/>
        <v>1100</v>
      </c>
      <c r="P35" s="445">
        <f t="shared" si="4"/>
        <v>1100</v>
      </c>
      <c r="Q35" s="445">
        <f t="shared" si="4"/>
        <v>1100</v>
      </c>
      <c r="R35" s="445">
        <f t="shared" si="4"/>
        <v>1100</v>
      </c>
      <c r="S35" s="445">
        <f t="shared" si="4"/>
        <v>1100</v>
      </c>
      <c r="T35" s="445">
        <f t="shared" si="4"/>
        <v>1100</v>
      </c>
      <c r="U35" s="445">
        <f t="shared" si="4"/>
        <v>1100</v>
      </c>
      <c r="V35" s="445">
        <f t="shared" si="4"/>
        <v>1100</v>
      </c>
      <c r="W35" s="445">
        <f t="shared" si="4"/>
        <v>1100</v>
      </c>
      <c r="X35" s="445">
        <f t="shared" si="4"/>
        <v>1100</v>
      </c>
      <c r="Y35" s="445">
        <f t="shared" si="4"/>
        <v>1100</v>
      </c>
      <c r="Z35" s="445">
        <f t="shared" si="4"/>
        <v>1100</v>
      </c>
      <c r="AA35" s="445">
        <f t="shared" si="4"/>
        <v>1100</v>
      </c>
      <c r="AB35" s="445">
        <f t="shared" si="4"/>
        <v>1100</v>
      </c>
      <c r="AC35" s="445">
        <f t="shared" si="4"/>
        <v>1100</v>
      </c>
      <c r="AD35" s="445">
        <f t="shared" si="4"/>
        <v>1100</v>
      </c>
      <c r="AE35" s="445">
        <f t="shared" si="4"/>
        <v>1100</v>
      </c>
      <c r="AF35" s="445">
        <f t="shared" si="4"/>
        <v>1100</v>
      </c>
      <c r="AG35" s="445">
        <f t="shared" si="4"/>
        <v>1100</v>
      </c>
      <c r="AH35" s="445">
        <f t="shared" si="4"/>
        <v>1100</v>
      </c>
      <c r="AI35" s="445">
        <f t="shared" si="4"/>
        <v>1100</v>
      </c>
      <c r="AJ35" s="445">
        <f t="shared" si="4"/>
        <v>1100</v>
      </c>
      <c r="AK35" s="445">
        <f t="shared" si="4"/>
        <v>1100</v>
      </c>
      <c r="AL35" s="445">
        <f t="shared" si="4"/>
        <v>1100</v>
      </c>
      <c r="AM35" s="445">
        <f t="shared" si="4"/>
        <v>1100</v>
      </c>
      <c r="AN35" s="445">
        <f t="shared" si="4"/>
        <v>1100</v>
      </c>
      <c r="AO35" s="445">
        <f t="shared" si="4"/>
        <v>1100</v>
      </c>
      <c r="AP35" s="445">
        <f t="shared" si="4"/>
        <v>1100</v>
      </c>
      <c r="AQ35" s="445">
        <f t="shared" si="4"/>
        <v>1100</v>
      </c>
      <c r="AR35" s="445">
        <f t="shared" si="4"/>
        <v>1100</v>
      </c>
      <c r="AS35" s="445">
        <f t="shared" si="4"/>
        <v>1100</v>
      </c>
    </row>
    <row r="36" spans="1:45" ht="15">
      <c r="A36" s="59"/>
      <c r="B36" s="105" t="s">
        <v>263</v>
      </c>
      <c r="C36" s="441">
        <v>12000</v>
      </c>
      <c r="D36" s="463" t="s">
        <v>349</v>
      </c>
      <c r="E36" s="464">
        <v>0.15</v>
      </c>
      <c r="F36" s="464">
        <v>0.15</v>
      </c>
      <c r="G36" s="464">
        <v>0.15</v>
      </c>
      <c r="H36" s="464">
        <v>0.15</v>
      </c>
      <c r="I36" s="464">
        <v>0.15</v>
      </c>
      <c r="J36" s="445">
        <f t="shared" si="5"/>
        <v>1150</v>
      </c>
      <c r="K36" s="445">
        <f t="shared" si="4"/>
        <v>1150</v>
      </c>
      <c r="L36" s="445">
        <f t="shared" si="4"/>
        <v>1150</v>
      </c>
      <c r="M36" s="445">
        <f t="shared" si="4"/>
        <v>1150</v>
      </c>
      <c r="N36" s="445">
        <f t="shared" si="4"/>
        <v>1150</v>
      </c>
      <c r="O36" s="445">
        <f t="shared" si="4"/>
        <v>1150</v>
      </c>
      <c r="P36" s="445">
        <f t="shared" si="4"/>
        <v>1150</v>
      </c>
      <c r="Q36" s="445">
        <f t="shared" si="4"/>
        <v>1150</v>
      </c>
      <c r="R36" s="445">
        <f t="shared" si="4"/>
        <v>1150</v>
      </c>
      <c r="S36" s="445">
        <f t="shared" si="4"/>
        <v>1150</v>
      </c>
      <c r="T36" s="445">
        <f t="shared" si="4"/>
        <v>1150</v>
      </c>
      <c r="U36" s="445">
        <f t="shared" si="4"/>
        <v>1150</v>
      </c>
      <c r="V36" s="445">
        <f t="shared" si="4"/>
        <v>1150</v>
      </c>
      <c r="W36" s="445">
        <f t="shared" si="4"/>
        <v>1150</v>
      </c>
      <c r="X36" s="445">
        <f t="shared" si="4"/>
        <v>1150</v>
      </c>
      <c r="Y36" s="445">
        <f t="shared" si="4"/>
        <v>1150</v>
      </c>
      <c r="Z36" s="445">
        <f t="shared" si="4"/>
        <v>1150</v>
      </c>
      <c r="AA36" s="445">
        <f t="shared" si="4"/>
        <v>1150</v>
      </c>
      <c r="AB36" s="445">
        <f t="shared" si="4"/>
        <v>1150</v>
      </c>
      <c r="AC36" s="445">
        <f t="shared" si="4"/>
        <v>1150</v>
      </c>
      <c r="AD36" s="445">
        <f t="shared" si="4"/>
        <v>1150</v>
      </c>
      <c r="AE36" s="445">
        <f t="shared" si="4"/>
        <v>1150</v>
      </c>
      <c r="AF36" s="445">
        <f t="shared" si="4"/>
        <v>1150</v>
      </c>
      <c r="AG36" s="445">
        <f t="shared" si="4"/>
        <v>1150</v>
      </c>
      <c r="AH36" s="445">
        <f t="shared" si="4"/>
        <v>1150</v>
      </c>
      <c r="AI36" s="445">
        <f t="shared" si="4"/>
        <v>1150</v>
      </c>
      <c r="AJ36" s="445">
        <f t="shared" si="4"/>
        <v>1150</v>
      </c>
      <c r="AK36" s="445">
        <f t="shared" si="4"/>
        <v>1150</v>
      </c>
      <c r="AL36" s="445">
        <f t="shared" si="4"/>
        <v>1150</v>
      </c>
      <c r="AM36" s="445">
        <f t="shared" si="4"/>
        <v>1150</v>
      </c>
      <c r="AN36" s="445">
        <f t="shared" si="4"/>
        <v>1150</v>
      </c>
      <c r="AO36" s="445">
        <f t="shared" si="4"/>
        <v>1150</v>
      </c>
      <c r="AP36" s="445">
        <f t="shared" si="4"/>
        <v>1150</v>
      </c>
      <c r="AQ36" s="445">
        <f t="shared" si="4"/>
        <v>1150</v>
      </c>
      <c r="AR36" s="445">
        <f t="shared" si="4"/>
        <v>1150</v>
      </c>
      <c r="AS36" s="445">
        <f t="shared" si="4"/>
        <v>1150</v>
      </c>
    </row>
    <row r="37" spans="1:45" ht="15">
      <c r="A37" s="59"/>
      <c r="B37" s="105" t="s">
        <v>85</v>
      </c>
      <c r="C37" s="441">
        <v>12000</v>
      </c>
      <c r="D37" s="463" t="s">
        <v>349</v>
      </c>
      <c r="E37" s="464">
        <v>0.05</v>
      </c>
      <c r="F37" s="464">
        <v>0.05</v>
      </c>
      <c r="G37" s="464">
        <v>0.05</v>
      </c>
      <c r="H37" s="464">
        <v>0.05</v>
      </c>
      <c r="I37" s="464">
        <v>0.05</v>
      </c>
      <c r="J37" s="445">
        <f t="shared" si="5"/>
        <v>1050</v>
      </c>
      <c r="K37" s="445">
        <f t="shared" si="4"/>
        <v>1050</v>
      </c>
      <c r="L37" s="445">
        <f t="shared" si="4"/>
        <v>1050</v>
      </c>
      <c r="M37" s="445">
        <f t="shared" si="4"/>
        <v>1050</v>
      </c>
      <c r="N37" s="445">
        <f t="shared" si="4"/>
        <v>1050</v>
      </c>
      <c r="O37" s="445">
        <f t="shared" si="4"/>
        <v>1050</v>
      </c>
      <c r="P37" s="445">
        <f t="shared" si="4"/>
        <v>1050</v>
      </c>
      <c r="Q37" s="445">
        <f t="shared" si="4"/>
        <v>1050</v>
      </c>
      <c r="R37" s="445">
        <f t="shared" si="4"/>
        <v>1050</v>
      </c>
      <c r="S37" s="445">
        <f t="shared" si="4"/>
        <v>1050</v>
      </c>
      <c r="T37" s="445">
        <f t="shared" si="4"/>
        <v>1050</v>
      </c>
      <c r="U37" s="445">
        <f t="shared" si="4"/>
        <v>1050</v>
      </c>
      <c r="V37" s="445">
        <f t="shared" si="4"/>
        <v>1050</v>
      </c>
      <c r="W37" s="445">
        <f t="shared" si="4"/>
        <v>1050</v>
      </c>
      <c r="X37" s="445">
        <f t="shared" si="4"/>
        <v>1050</v>
      </c>
      <c r="Y37" s="445">
        <f t="shared" si="4"/>
        <v>1050</v>
      </c>
      <c r="Z37" s="445">
        <f t="shared" si="4"/>
        <v>1050</v>
      </c>
      <c r="AA37" s="445">
        <f t="shared" si="4"/>
        <v>1050</v>
      </c>
      <c r="AB37" s="445">
        <f t="shared" si="4"/>
        <v>1050</v>
      </c>
      <c r="AC37" s="445">
        <f t="shared" si="4"/>
        <v>1050</v>
      </c>
      <c r="AD37" s="445">
        <f t="shared" si="4"/>
        <v>1050</v>
      </c>
      <c r="AE37" s="445">
        <f t="shared" si="4"/>
        <v>1050</v>
      </c>
      <c r="AF37" s="445">
        <f t="shared" si="4"/>
        <v>1050</v>
      </c>
      <c r="AG37" s="445">
        <f t="shared" si="4"/>
        <v>1050</v>
      </c>
      <c r="AH37" s="445">
        <f t="shared" si="4"/>
        <v>1050</v>
      </c>
      <c r="AI37" s="445">
        <f t="shared" si="4"/>
        <v>1050</v>
      </c>
      <c r="AJ37" s="445">
        <f t="shared" si="4"/>
        <v>1050</v>
      </c>
      <c r="AK37" s="445">
        <f t="shared" si="4"/>
        <v>1050</v>
      </c>
      <c r="AL37" s="445">
        <f t="shared" si="4"/>
        <v>1050</v>
      </c>
      <c r="AM37" s="445">
        <f t="shared" si="4"/>
        <v>1050</v>
      </c>
      <c r="AN37" s="445">
        <f t="shared" si="4"/>
        <v>1050</v>
      </c>
      <c r="AO37" s="445">
        <f t="shared" si="4"/>
        <v>1050</v>
      </c>
      <c r="AP37" s="445">
        <f t="shared" si="4"/>
        <v>1050</v>
      </c>
      <c r="AQ37" s="445">
        <f t="shared" si="4"/>
        <v>1050</v>
      </c>
      <c r="AR37" s="445">
        <f t="shared" si="4"/>
        <v>1050</v>
      </c>
      <c r="AS37" s="445">
        <f t="shared" si="4"/>
        <v>1050</v>
      </c>
    </row>
    <row r="38" spans="1:45" ht="15">
      <c r="A38" s="59"/>
      <c r="B38" s="105" t="s">
        <v>84</v>
      </c>
      <c r="C38" s="441">
        <v>12000</v>
      </c>
      <c r="D38" s="463" t="s">
        <v>349</v>
      </c>
      <c r="E38" s="464">
        <v>0.08</v>
      </c>
      <c r="F38" s="464">
        <v>0.08</v>
      </c>
      <c r="G38" s="464">
        <v>0.08</v>
      </c>
      <c r="H38" s="464">
        <v>0.08</v>
      </c>
      <c r="I38" s="464">
        <v>0.08</v>
      </c>
      <c r="J38" s="445">
        <f t="shared" si="5"/>
        <v>1080</v>
      </c>
      <c r="K38" s="445">
        <f t="shared" si="4"/>
        <v>1080</v>
      </c>
      <c r="L38" s="445">
        <f t="shared" si="4"/>
        <v>1080</v>
      </c>
      <c r="M38" s="445">
        <f t="shared" si="4"/>
        <v>1080</v>
      </c>
      <c r="N38" s="445">
        <f t="shared" si="4"/>
        <v>1080</v>
      </c>
      <c r="O38" s="445">
        <f t="shared" si="4"/>
        <v>1080</v>
      </c>
      <c r="P38" s="445">
        <f t="shared" si="4"/>
        <v>1080</v>
      </c>
      <c r="Q38" s="445">
        <f t="shared" si="4"/>
        <v>1080</v>
      </c>
      <c r="R38" s="445">
        <f t="shared" si="4"/>
        <v>1080</v>
      </c>
      <c r="S38" s="445">
        <f t="shared" si="4"/>
        <v>1080</v>
      </c>
      <c r="T38" s="445">
        <f t="shared" si="4"/>
        <v>1080</v>
      </c>
      <c r="U38" s="445">
        <f t="shared" si="4"/>
        <v>1080</v>
      </c>
      <c r="V38" s="445">
        <f t="shared" si="4"/>
        <v>1080</v>
      </c>
      <c r="W38" s="445">
        <f t="shared" si="4"/>
        <v>1080</v>
      </c>
      <c r="X38" s="445">
        <f t="shared" si="4"/>
        <v>1080</v>
      </c>
      <c r="Y38" s="445">
        <f t="shared" si="4"/>
        <v>1080</v>
      </c>
      <c r="Z38" s="445">
        <f t="shared" si="4"/>
        <v>1080</v>
      </c>
      <c r="AA38" s="445">
        <f t="shared" si="4"/>
        <v>1080</v>
      </c>
      <c r="AB38" s="445">
        <f t="shared" si="4"/>
        <v>1080</v>
      </c>
      <c r="AC38" s="445">
        <f t="shared" si="4"/>
        <v>1080</v>
      </c>
      <c r="AD38" s="445">
        <f t="shared" si="4"/>
        <v>1080</v>
      </c>
      <c r="AE38" s="445">
        <f t="shared" si="4"/>
        <v>1080</v>
      </c>
      <c r="AF38" s="445">
        <f t="shared" si="4"/>
        <v>1080</v>
      </c>
      <c r="AG38" s="445">
        <f t="shared" si="4"/>
        <v>1080</v>
      </c>
      <c r="AH38" s="445">
        <f t="shared" si="4"/>
        <v>1080</v>
      </c>
      <c r="AI38" s="445">
        <f t="shared" si="4"/>
        <v>1080</v>
      </c>
      <c r="AJ38" s="445">
        <f t="shared" si="4"/>
        <v>1080</v>
      </c>
      <c r="AK38" s="445">
        <f t="shared" si="4"/>
        <v>1080</v>
      </c>
      <c r="AL38" s="445">
        <f t="shared" si="4"/>
        <v>1080</v>
      </c>
      <c r="AM38" s="445">
        <f t="shared" si="4"/>
        <v>1080</v>
      </c>
      <c r="AN38" s="445">
        <f t="shared" si="4"/>
        <v>1080</v>
      </c>
      <c r="AO38" s="445">
        <f t="shared" si="4"/>
        <v>1080</v>
      </c>
      <c r="AP38" s="445">
        <f t="shared" si="4"/>
        <v>1080</v>
      </c>
      <c r="AQ38" s="445">
        <f t="shared" si="4"/>
        <v>1080</v>
      </c>
      <c r="AR38" s="445">
        <f t="shared" si="4"/>
        <v>1080</v>
      </c>
      <c r="AS38" s="445">
        <f t="shared" si="4"/>
        <v>1080</v>
      </c>
    </row>
    <row r="39" spans="1:45" ht="15">
      <c r="A39" s="59"/>
      <c r="B39" s="105" t="s">
        <v>86</v>
      </c>
      <c r="C39" s="441">
        <v>12000</v>
      </c>
      <c r="D39" s="463" t="s">
        <v>349</v>
      </c>
      <c r="E39" s="464">
        <f>10%</f>
        <v>0.1</v>
      </c>
      <c r="F39" s="464">
        <f>10%</f>
        <v>0.1</v>
      </c>
      <c r="G39" s="464">
        <f>10%</f>
        <v>0.1</v>
      </c>
      <c r="H39" s="464">
        <f>10%</f>
        <v>0.1</v>
      </c>
      <c r="I39" s="464">
        <f>10%</f>
        <v>0.1</v>
      </c>
      <c r="J39" s="445">
        <f t="shared" si="5"/>
        <v>1100</v>
      </c>
      <c r="K39" s="445">
        <f t="shared" si="4"/>
        <v>1100</v>
      </c>
      <c r="L39" s="445">
        <f t="shared" si="4"/>
        <v>1100</v>
      </c>
      <c r="M39" s="445">
        <f t="shared" si="4"/>
        <v>1100</v>
      </c>
      <c r="N39" s="445">
        <f t="shared" si="4"/>
        <v>1100</v>
      </c>
      <c r="O39" s="445">
        <f t="shared" si="4"/>
        <v>1100</v>
      </c>
      <c r="P39" s="445">
        <f t="shared" si="4"/>
        <v>1100</v>
      </c>
      <c r="Q39" s="445">
        <f t="shared" si="4"/>
        <v>1100</v>
      </c>
      <c r="R39" s="445">
        <f t="shared" si="4"/>
        <v>1100</v>
      </c>
      <c r="S39" s="445">
        <f t="shared" si="4"/>
        <v>1100</v>
      </c>
      <c r="T39" s="445">
        <f t="shared" si="4"/>
        <v>1100</v>
      </c>
      <c r="U39" s="445">
        <f t="shared" si="4"/>
        <v>1100</v>
      </c>
      <c r="V39" s="445">
        <f t="shared" si="4"/>
        <v>1100</v>
      </c>
      <c r="W39" s="445">
        <f t="shared" si="4"/>
        <v>1100</v>
      </c>
      <c r="X39" s="445">
        <f t="shared" si="4"/>
        <v>1100</v>
      </c>
      <c r="Y39" s="445">
        <f t="shared" si="4"/>
        <v>1100</v>
      </c>
      <c r="Z39" s="445">
        <f t="shared" si="4"/>
        <v>1100</v>
      </c>
      <c r="AA39" s="445">
        <f t="shared" si="4"/>
        <v>1100</v>
      </c>
      <c r="AB39" s="445">
        <f t="shared" si="4"/>
        <v>1100</v>
      </c>
      <c r="AC39" s="445">
        <f t="shared" si="4"/>
        <v>1100</v>
      </c>
      <c r="AD39" s="445">
        <f t="shared" si="4"/>
        <v>1100</v>
      </c>
      <c r="AE39" s="445">
        <f t="shared" si="4"/>
        <v>1100</v>
      </c>
      <c r="AF39" s="445">
        <f t="shared" si="4"/>
        <v>1100</v>
      </c>
      <c r="AG39" s="445">
        <f t="shared" si="4"/>
        <v>1100</v>
      </c>
      <c r="AH39" s="445">
        <f t="shared" si="4"/>
        <v>1100</v>
      </c>
      <c r="AI39" s="445">
        <f t="shared" si="4"/>
        <v>1100</v>
      </c>
      <c r="AJ39" s="445">
        <f t="shared" ref="K39:AS44" si="6">($C39 / 12) * (1 + CHOOSE(AJ$5, $E39, $F39, $G39, $H39, $I39))</f>
        <v>1100</v>
      </c>
      <c r="AK39" s="445">
        <f t="shared" si="6"/>
        <v>1100</v>
      </c>
      <c r="AL39" s="445">
        <f t="shared" si="6"/>
        <v>1100</v>
      </c>
      <c r="AM39" s="445">
        <f t="shared" si="6"/>
        <v>1100</v>
      </c>
      <c r="AN39" s="445">
        <f t="shared" si="6"/>
        <v>1100</v>
      </c>
      <c r="AO39" s="445">
        <f t="shared" si="6"/>
        <v>1100</v>
      </c>
      <c r="AP39" s="445">
        <f t="shared" si="6"/>
        <v>1100</v>
      </c>
      <c r="AQ39" s="445">
        <f t="shared" si="6"/>
        <v>1100</v>
      </c>
      <c r="AR39" s="445">
        <f t="shared" si="6"/>
        <v>1100</v>
      </c>
      <c r="AS39" s="445">
        <f t="shared" si="6"/>
        <v>1100</v>
      </c>
    </row>
    <row r="40" spans="1:45" ht="15">
      <c r="A40" s="59"/>
      <c r="B40" s="105" t="s">
        <v>156</v>
      </c>
      <c r="C40" s="441">
        <v>12000</v>
      </c>
      <c r="D40" s="463" t="s">
        <v>349</v>
      </c>
      <c r="E40" s="464">
        <v>7.0000000000000007E-2</v>
      </c>
      <c r="F40" s="464">
        <v>7.0000000000000007E-2</v>
      </c>
      <c r="G40" s="464">
        <v>7.0000000000000007E-2</v>
      </c>
      <c r="H40" s="464">
        <v>7.0000000000000007E-2</v>
      </c>
      <c r="I40" s="464">
        <v>7.0000000000000007E-2</v>
      </c>
      <c r="J40" s="445">
        <f t="shared" si="5"/>
        <v>1070</v>
      </c>
      <c r="K40" s="445">
        <f t="shared" si="6"/>
        <v>1070</v>
      </c>
      <c r="L40" s="445">
        <f t="shared" si="6"/>
        <v>1070</v>
      </c>
      <c r="M40" s="445">
        <f t="shared" si="6"/>
        <v>1070</v>
      </c>
      <c r="N40" s="445">
        <f t="shared" si="6"/>
        <v>1070</v>
      </c>
      <c r="O40" s="445">
        <f t="shared" si="6"/>
        <v>1070</v>
      </c>
      <c r="P40" s="445">
        <f t="shared" si="6"/>
        <v>1070</v>
      </c>
      <c r="Q40" s="445">
        <f t="shared" si="6"/>
        <v>1070</v>
      </c>
      <c r="R40" s="445">
        <f t="shared" si="6"/>
        <v>1070</v>
      </c>
      <c r="S40" s="445">
        <f t="shared" si="6"/>
        <v>1070</v>
      </c>
      <c r="T40" s="445">
        <f t="shared" si="6"/>
        <v>1070</v>
      </c>
      <c r="U40" s="445">
        <f t="shared" si="6"/>
        <v>1070</v>
      </c>
      <c r="V40" s="445">
        <f t="shared" si="6"/>
        <v>1070</v>
      </c>
      <c r="W40" s="445">
        <f t="shared" si="6"/>
        <v>1070</v>
      </c>
      <c r="X40" s="445">
        <f t="shared" si="6"/>
        <v>1070</v>
      </c>
      <c r="Y40" s="445">
        <f t="shared" si="6"/>
        <v>1070</v>
      </c>
      <c r="Z40" s="445">
        <f t="shared" si="6"/>
        <v>1070</v>
      </c>
      <c r="AA40" s="445">
        <f t="shared" si="6"/>
        <v>1070</v>
      </c>
      <c r="AB40" s="445">
        <f t="shared" si="6"/>
        <v>1070</v>
      </c>
      <c r="AC40" s="445">
        <f t="shared" si="6"/>
        <v>1070</v>
      </c>
      <c r="AD40" s="445">
        <f t="shared" si="6"/>
        <v>1070</v>
      </c>
      <c r="AE40" s="445">
        <f t="shared" si="6"/>
        <v>1070</v>
      </c>
      <c r="AF40" s="445">
        <f t="shared" si="6"/>
        <v>1070</v>
      </c>
      <c r="AG40" s="445">
        <f t="shared" si="6"/>
        <v>1070</v>
      </c>
      <c r="AH40" s="445">
        <f t="shared" si="6"/>
        <v>1070</v>
      </c>
      <c r="AI40" s="445">
        <f t="shared" si="6"/>
        <v>1070</v>
      </c>
      <c r="AJ40" s="445">
        <f t="shared" si="6"/>
        <v>1070</v>
      </c>
      <c r="AK40" s="445">
        <f t="shared" si="6"/>
        <v>1070</v>
      </c>
      <c r="AL40" s="445">
        <f t="shared" si="6"/>
        <v>1070</v>
      </c>
      <c r="AM40" s="445">
        <f t="shared" si="6"/>
        <v>1070</v>
      </c>
      <c r="AN40" s="445">
        <f t="shared" si="6"/>
        <v>1070</v>
      </c>
      <c r="AO40" s="445">
        <f t="shared" si="6"/>
        <v>1070</v>
      </c>
      <c r="AP40" s="445">
        <f t="shared" si="6"/>
        <v>1070</v>
      </c>
      <c r="AQ40" s="445">
        <f t="shared" si="6"/>
        <v>1070</v>
      </c>
      <c r="AR40" s="445">
        <f t="shared" si="6"/>
        <v>1070</v>
      </c>
      <c r="AS40" s="445">
        <f t="shared" si="6"/>
        <v>1070</v>
      </c>
    </row>
    <row r="41" spans="1:45" ht="15">
      <c r="A41" s="59"/>
      <c r="B41" s="105" t="s">
        <v>206</v>
      </c>
      <c r="C41" s="441">
        <v>12000</v>
      </c>
      <c r="D41" s="463" t="s">
        <v>349</v>
      </c>
      <c r="E41" s="464">
        <v>0.05</v>
      </c>
      <c r="F41" s="464">
        <v>0.05</v>
      </c>
      <c r="G41" s="464">
        <v>0.05</v>
      </c>
      <c r="H41" s="464">
        <v>0.05</v>
      </c>
      <c r="I41" s="464">
        <v>0.05</v>
      </c>
      <c r="J41" s="445">
        <f t="shared" si="5"/>
        <v>1050</v>
      </c>
      <c r="K41" s="445">
        <f t="shared" si="6"/>
        <v>1050</v>
      </c>
      <c r="L41" s="445">
        <f t="shared" si="6"/>
        <v>1050</v>
      </c>
      <c r="M41" s="445">
        <f t="shared" si="6"/>
        <v>1050</v>
      </c>
      <c r="N41" s="445">
        <f t="shared" si="6"/>
        <v>1050</v>
      </c>
      <c r="O41" s="445">
        <f t="shared" si="6"/>
        <v>1050</v>
      </c>
      <c r="P41" s="445">
        <f t="shared" si="6"/>
        <v>1050</v>
      </c>
      <c r="Q41" s="445">
        <f t="shared" si="6"/>
        <v>1050</v>
      </c>
      <c r="R41" s="445">
        <f t="shared" si="6"/>
        <v>1050</v>
      </c>
      <c r="S41" s="445">
        <f t="shared" si="6"/>
        <v>1050</v>
      </c>
      <c r="T41" s="445">
        <f t="shared" si="6"/>
        <v>1050</v>
      </c>
      <c r="U41" s="445">
        <f t="shared" si="6"/>
        <v>1050</v>
      </c>
      <c r="V41" s="445">
        <f t="shared" si="6"/>
        <v>1050</v>
      </c>
      <c r="W41" s="445">
        <f t="shared" si="6"/>
        <v>1050</v>
      </c>
      <c r="X41" s="445">
        <f t="shared" si="6"/>
        <v>1050</v>
      </c>
      <c r="Y41" s="445">
        <f t="shared" si="6"/>
        <v>1050</v>
      </c>
      <c r="Z41" s="445">
        <f t="shared" si="6"/>
        <v>1050</v>
      </c>
      <c r="AA41" s="445">
        <f t="shared" si="6"/>
        <v>1050</v>
      </c>
      <c r="AB41" s="445">
        <f t="shared" si="6"/>
        <v>1050</v>
      </c>
      <c r="AC41" s="445">
        <f t="shared" si="6"/>
        <v>1050</v>
      </c>
      <c r="AD41" s="445">
        <f t="shared" si="6"/>
        <v>1050</v>
      </c>
      <c r="AE41" s="445">
        <f t="shared" si="6"/>
        <v>1050</v>
      </c>
      <c r="AF41" s="445">
        <f t="shared" si="6"/>
        <v>1050</v>
      </c>
      <c r="AG41" s="445">
        <f t="shared" si="6"/>
        <v>1050</v>
      </c>
      <c r="AH41" s="445">
        <f t="shared" si="6"/>
        <v>1050</v>
      </c>
      <c r="AI41" s="445">
        <f t="shared" si="6"/>
        <v>1050</v>
      </c>
      <c r="AJ41" s="445">
        <f t="shared" si="6"/>
        <v>1050</v>
      </c>
      <c r="AK41" s="445">
        <f t="shared" si="6"/>
        <v>1050</v>
      </c>
      <c r="AL41" s="445">
        <f t="shared" si="6"/>
        <v>1050</v>
      </c>
      <c r="AM41" s="445">
        <f t="shared" si="6"/>
        <v>1050</v>
      </c>
      <c r="AN41" s="445">
        <f t="shared" si="6"/>
        <v>1050</v>
      </c>
      <c r="AO41" s="445">
        <f t="shared" si="6"/>
        <v>1050</v>
      </c>
      <c r="AP41" s="445">
        <f t="shared" si="6"/>
        <v>1050</v>
      </c>
      <c r="AQ41" s="445">
        <f t="shared" si="6"/>
        <v>1050</v>
      </c>
      <c r="AR41" s="445">
        <f t="shared" si="6"/>
        <v>1050</v>
      </c>
      <c r="AS41" s="445">
        <f t="shared" si="6"/>
        <v>1050</v>
      </c>
    </row>
    <row r="42" spans="1:45" ht="15">
      <c r="A42" s="59"/>
      <c r="B42" s="105" t="s">
        <v>87</v>
      </c>
      <c r="C42" s="441">
        <v>12000</v>
      </c>
      <c r="D42" s="463" t="s">
        <v>349</v>
      </c>
      <c r="E42" s="464">
        <v>0.08</v>
      </c>
      <c r="F42" s="464">
        <v>0.08</v>
      </c>
      <c r="G42" s="464">
        <v>0.08</v>
      </c>
      <c r="H42" s="464">
        <v>0.08</v>
      </c>
      <c r="I42" s="464">
        <v>0.08</v>
      </c>
      <c r="J42" s="445">
        <f t="shared" si="5"/>
        <v>1080</v>
      </c>
      <c r="K42" s="445">
        <f t="shared" si="6"/>
        <v>1080</v>
      </c>
      <c r="L42" s="445">
        <f t="shared" si="6"/>
        <v>1080</v>
      </c>
      <c r="M42" s="445">
        <f t="shared" si="6"/>
        <v>1080</v>
      </c>
      <c r="N42" s="445">
        <f t="shared" si="6"/>
        <v>1080</v>
      </c>
      <c r="O42" s="445">
        <f t="shared" si="6"/>
        <v>1080</v>
      </c>
      <c r="P42" s="445">
        <f t="shared" si="6"/>
        <v>1080</v>
      </c>
      <c r="Q42" s="445">
        <f t="shared" si="6"/>
        <v>1080</v>
      </c>
      <c r="R42" s="445">
        <f t="shared" si="6"/>
        <v>1080</v>
      </c>
      <c r="S42" s="445">
        <f t="shared" si="6"/>
        <v>1080</v>
      </c>
      <c r="T42" s="445">
        <f t="shared" si="6"/>
        <v>1080</v>
      </c>
      <c r="U42" s="445">
        <f t="shared" si="6"/>
        <v>1080</v>
      </c>
      <c r="V42" s="445">
        <f t="shared" si="6"/>
        <v>1080</v>
      </c>
      <c r="W42" s="445">
        <f t="shared" si="6"/>
        <v>1080</v>
      </c>
      <c r="X42" s="445">
        <f t="shared" si="6"/>
        <v>1080</v>
      </c>
      <c r="Y42" s="445">
        <f t="shared" si="6"/>
        <v>1080</v>
      </c>
      <c r="Z42" s="445">
        <f t="shared" si="6"/>
        <v>1080</v>
      </c>
      <c r="AA42" s="445">
        <f t="shared" si="6"/>
        <v>1080</v>
      </c>
      <c r="AB42" s="445">
        <f t="shared" si="6"/>
        <v>1080</v>
      </c>
      <c r="AC42" s="445">
        <f t="shared" si="6"/>
        <v>1080</v>
      </c>
      <c r="AD42" s="445">
        <f t="shared" si="6"/>
        <v>1080</v>
      </c>
      <c r="AE42" s="445">
        <f t="shared" si="6"/>
        <v>1080</v>
      </c>
      <c r="AF42" s="445">
        <f t="shared" si="6"/>
        <v>1080</v>
      </c>
      <c r="AG42" s="445">
        <f t="shared" si="6"/>
        <v>1080</v>
      </c>
      <c r="AH42" s="445">
        <f t="shared" si="6"/>
        <v>1080</v>
      </c>
      <c r="AI42" s="445">
        <f t="shared" si="6"/>
        <v>1080</v>
      </c>
      <c r="AJ42" s="445">
        <f t="shared" si="6"/>
        <v>1080</v>
      </c>
      <c r="AK42" s="445">
        <f t="shared" si="6"/>
        <v>1080</v>
      </c>
      <c r="AL42" s="445">
        <f t="shared" si="6"/>
        <v>1080</v>
      </c>
      <c r="AM42" s="445">
        <f t="shared" si="6"/>
        <v>1080</v>
      </c>
      <c r="AN42" s="445">
        <f t="shared" si="6"/>
        <v>1080</v>
      </c>
      <c r="AO42" s="445">
        <f t="shared" si="6"/>
        <v>1080</v>
      </c>
      <c r="AP42" s="445">
        <f t="shared" si="6"/>
        <v>1080</v>
      </c>
      <c r="AQ42" s="445">
        <f t="shared" si="6"/>
        <v>1080</v>
      </c>
      <c r="AR42" s="445">
        <f t="shared" si="6"/>
        <v>1080</v>
      </c>
      <c r="AS42" s="445">
        <f t="shared" si="6"/>
        <v>1080</v>
      </c>
    </row>
    <row r="43" spans="1:45" ht="15">
      <c r="A43" s="59"/>
      <c r="B43" s="105" t="s">
        <v>249</v>
      </c>
      <c r="C43" s="441">
        <v>12000</v>
      </c>
      <c r="D43" s="463" t="s">
        <v>349</v>
      </c>
      <c r="E43" s="464">
        <f>10%</f>
        <v>0.1</v>
      </c>
      <c r="F43" s="464">
        <f>10%</f>
        <v>0.1</v>
      </c>
      <c r="G43" s="464">
        <f>10%</f>
        <v>0.1</v>
      </c>
      <c r="H43" s="464">
        <f>10%</f>
        <v>0.1</v>
      </c>
      <c r="I43" s="464">
        <f>10%</f>
        <v>0.1</v>
      </c>
      <c r="J43" s="445">
        <f t="shared" si="5"/>
        <v>1100</v>
      </c>
      <c r="K43" s="445">
        <f t="shared" si="6"/>
        <v>1100</v>
      </c>
      <c r="L43" s="445">
        <f t="shared" si="6"/>
        <v>1100</v>
      </c>
      <c r="M43" s="445">
        <f t="shared" si="6"/>
        <v>1100</v>
      </c>
      <c r="N43" s="445">
        <f t="shared" si="6"/>
        <v>1100</v>
      </c>
      <c r="O43" s="445">
        <f t="shared" si="6"/>
        <v>1100</v>
      </c>
      <c r="P43" s="445">
        <f t="shared" si="6"/>
        <v>1100</v>
      </c>
      <c r="Q43" s="445">
        <f t="shared" si="6"/>
        <v>1100</v>
      </c>
      <c r="R43" s="445">
        <f t="shared" si="6"/>
        <v>1100</v>
      </c>
      <c r="S43" s="445">
        <f t="shared" si="6"/>
        <v>1100</v>
      </c>
      <c r="T43" s="445">
        <f t="shared" si="6"/>
        <v>1100</v>
      </c>
      <c r="U43" s="445">
        <f t="shared" si="6"/>
        <v>1100</v>
      </c>
      <c r="V43" s="445">
        <f t="shared" si="6"/>
        <v>1100</v>
      </c>
      <c r="W43" s="445">
        <f t="shared" si="6"/>
        <v>1100</v>
      </c>
      <c r="X43" s="445">
        <f t="shared" si="6"/>
        <v>1100</v>
      </c>
      <c r="Y43" s="445">
        <f t="shared" si="6"/>
        <v>1100</v>
      </c>
      <c r="Z43" s="445">
        <f t="shared" si="6"/>
        <v>1100</v>
      </c>
      <c r="AA43" s="445">
        <f t="shared" si="6"/>
        <v>1100</v>
      </c>
      <c r="AB43" s="445">
        <f t="shared" si="6"/>
        <v>1100</v>
      </c>
      <c r="AC43" s="445">
        <f t="shared" si="6"/>
        <v>1100</v>
      </c>
      <c r="AD43" s="445">
        <f t="shared" si="6"/>
        <v>1100</v>
      </c>
      <c r="AE43" s="445">
        <f t="shared" si="6"/>
        <v>1100</v>
      </c>
      <c r="AF43" s="445">
        <f t="shared" si="6"/>
        <v>1100</v>
      </c>
      <c r="AG43" s="445">
        <f t="shared" si="6"/>
        <v>1100</v>
      </c>
      <c r="AH43" s="445">
        <f t="shared" si="6"/>
        <v>1100</v>
      </c>
      <c r="AI43" s="445">
        <f t="shared" si="6"/>
        <v>1100</v>
      </c>
      <c r="AJ43" s="445">
        <f t="shared" si="6"/>
        <v>1100</v>
      </c>
      <c r="AK43" s="445">
        <f t="shared" si="6"/>
        <v>1100</v>
      </c>
      <c r="AL43" s="445">
        <f t="shared" si="6"/>
        <v>1100</v>
      </c>
      <c r="AM43" s="445">
        <f t="shared" si="6"/>
        <v>1100</v>
      </c>
      <c r="AN43" s="445">
        <f t="shared" si="6"/>
        <v>1100</v>
      </c>
      <c r="AO43" s="445">
        <f t="shared" si="6"/>
        <v>1100</v>
      </c>
      <c r="AP43" s="445">
        <f t="shared" si="6"/>
        <v>1100</v>
      </c>
      <c r="AQ43" s="445">
        <f t="shared" si="6"/>
        <v>1100</v>
      </c>
      <c r="AR43" s="445">
        <f t="shared" si="6"/>
        <v>1100</v>
      </c>
      <c r="AS43" s="445">
        <f t="shared" si="6"/>
        <v>1100</v>
      </c>
    </row>
    <row r="44" spans="1:45" ht="15">
      <c r="A44" s="59"/>
      <c r="B44" s="105" t="s">
        <v>207</v>
      </c>
      <c r="C44" s="441">
        <v>12000</v>
      </c>
      <c r="D44" s="463" t="s">
        <v>349</v>
      </c>
      <c r="E44" s="464">
        <f>10%</f>
        <v>0.1</v>
      </c>
      <c r="F44" s="464">
        <f>10%</f>
        <v>0.1</v>
      </c>
      <c r="G44" s="464">
        <f>10%</f>
        <v>0.1</v>
      </c>
      <c r="H44" s="464">
        <f>10%</f>
        <v>0.1</v>
      </c>
      <c r="I44" s="464">
        <f>10%</f>
        <v>0.1</v>
      </c>
      <c r="J44" s="445">
        <f t="shared" si="5"/>
        <v>1100</v>
      </c>
      <c r="K44" s="445">
        <f t="shared" si="6"/>
        <v>1100</v>
      </c>
      <c r="L44" s="445">
        <f t="shared" si="6"/>
        <v>1100</v>
      </c>
      <c r="M44" s="445">
        <f t="shared" si="6"/>
        <v>1100</v>
      </c>
      <c r="N44" s="445">
        <f t="shared" si="6"/>
        <v>1100</v>
      </c>
      <c r="O44" s="445">
        <f t="shared" si="6"/>
        <v>1100</v>
      </c>
      <c r="P44" s="445">
        <f t="shared" si="6"/>
        <v>1100</v>
      </c>
      <c r="Q44" s="445">
        <f t="shared" si="6"/>
        <v>1100</v>
      </c>
      <c r="R44" s="445">
        <f t="shared" si="6"/>
        <v>1100</v>
      </c>
      <c r="S44" s="445">
        <f t="shared" si="6"/>
        <v>1100</v>
      </c>
      <c r="T44" s="445">
        <f t="shared" si="6"/>
        <v>1100</v>
      </c>
      <c r="U44" s="445">
        <f t="shared" si="6"/>
        <v>1100</v>
      </c>
      <c r="V44" s="445">
        <f t="shared" si="6"/>
        <v>1100</v>
      </c>
      <c r="W44" s="445">
        <f t="shared" si="6"/>
        <v>1100</v>
      </c>
      <c r="X44" s="445">
        <f t="shared" si="6"/>
        <v>1100</v>
      </c>
      <c r="Y44" s="445">
        <f t="shared" si="6"/>
        <v>1100</v>
      </c>
      <c r="Z44" s="445">
        <f t="shared" si="6"/>
        <v>1100</v>
      </c>
      <c r="AA44" s="445">
        <f t="shared" si="6"/>
        <v>1100</v>
      </c>
      <c r="AB44" s="445">
        <f t="shared" si="6"/>
        <v>1100</v>
      </c>
      <c r="AC44" s="445">
        <f t="shared" si="6"/>
        <v>1100</v>
      </c>
      <c r="AD44" s="445">
        <f t="shared" si="6"/>
        <v>1100</v>
      </c>
      <c r="AE44" s="445">
        <f t="shared" si="6"/>
        <v>1100</v>
      </c>
      <c r="AF44" s="445">
        <f t="shared" si="6"/>
        <v>1100</v>
      </c>
      <c r="AG44" s="445">
        <f t="shared" si="6"/>
        <v>1100</v>
      </c>
      <c r="AH44" s="445">
        <f t="shared" si="6"/>
        <v>1100</v>
      </c>
      <c r="AI44" s="445">
        <f t="shared" si="6"/>
        <v>1100</v>
      </c>
      <c r="AJ44" s="445">
        <f t="shared" si="6"/>
        <v>1100</v>
      </c>
      <c r="AK44" s="445">
        <f t="shared" si="6"/>
        <v>1100</v>
      </c>
      <c r="AL44" s="445">
        <f t="shared" si="6"/>
        <v>1100</v>
      </c>
      <c r="AM44" s="445">
        <f t="shared" si="6"/>
        <v>1100</v>
      </c>
      <c r="AN44" s="445">
        <f t="shared" si="6"/>
        <v>1100</v>
      </c>
      <c r="AO44" s="445">
        <f t="shared" si="6"/>
        <v>1100</v>
      </c>
      <c r="AP44" s="445">
        <f t="shared" si="6"/>
        <v>1100</v>
      </c>
      <c r="AQ44" s="445">
        <f t="shared" si="6"/>
        <v>1100</v>
      </c>
      <c r="AR44" s="445">
        <f t="shared" si="6"/>
        <v>1100</v>
      </c>
      <c r="AS44" s="445">
        <f t="shared" si="6"/>
        <v>1100</v>
      </c>
    </row>
    <row r="45" spans="1:45" ht="15">
      <c r="A45" s="59"/>
      <c r="B45" s="109" t="s">
        <v>208</v>
      </c>
      <c r="C45" s="443">
        <f>SUM(C31:C44)</f>
        <v>999000</v>
      </c>
      <c r="D45" s="443"/>
      <c r="E45" s="443"/>
      <c r="F45" s="443"/>
      <c r="G45" s="443"/>
      <c r="H45" s="443"/>
      <c r="I45" s="443"/>
      <c r="J45" s="443">
        <f t="shared" ref="J45:AR45" si="7">SUM(J31:J44)</f>
        <v>98005.333333333358</v>
      </c>
      <c r="K45" s="443">
        <f t="shared" si="7"/>
        <v>98005.333333333358</v>
      </c>
      <c r="L45" s="443">
        <f t="shared" si="7"/>
        <v>98005.333333333358</v>
      </c>
      <c r="M45" s="443">
        <f t="shared" si="7"/>
        <v>98005.333333333358</v>
      </c>
      <c r="N45" s="443">
        <f t="shared" si="7"/>
        <v>98005.333333333358</v>
      </c>
      <c r="O45" s="443">
        <f t="shared" si="7"/>
        <v>98005.333333333358</v>
      </c>
      <c r="P45" s="443">
        <f t="shared" si="7"/>
        <v>98005.333333333358</v>
      </c>
      <c r="Q45" s="443">
        <f t="shared" si="7"/>
        <v>98005.333333333358</v>
      </c>
      <c r="R45" s="443">
        <f t="shared" si="7"/>
        <v>98005.333333333358</v>
      </c>
      <c r="S45" s="443">
        <f t="shared" si="7"/>
        <v>98005.333333333358</v>
      </c>
      <c r="T45" s="443">
        <f t="shared" si="7"/>
        <v>98005.333333333358</v>
      </c>
      <c r="U45" s="443">
        <f t="shared" si="7"/>
        <v>98005.333333333358</v>
      </c>
      <c r="V45" s="443">
        <f t="shared" si="7"/>
        <v>84795.773333333345</v>
      </c>
      <c r="W45" s="443">
        <f t="shared" si="7"/>
        <v>84795.773333333345</v>
      </c>
      <c r="X45" s="443">
        <f t="shared" si="7"/>
        <v>84795.773333333345</v>
      </c>
      <c r="Y45" s="443">
        <f t="shared" si="7"/>
        <v>84795.773333333345</v>
      </c>
      <c r="Z45" s="443">
        <f t="shared" si="7"/>
        <v>84795.773333333345</v>
      </c>
      <c r="AA45" s="443">
        <f t="shared" si="7"/>
        <v>84795.773333333345</v>
      </c>
      <c r="AB45" s="443">
        <f t="shared" si="7"/>
        <v>84795.773333333345</v>
      </c>
      <c r="AC45" s="443">
        <f t="shared" si="7"/>
        <v>84795.773333333345</v>
      </c>
      <c r="AD45" s="443">
        <f t="shared" si="7"/>
        <v>84795.773333333345</v>
      </c>
      <c r="AE45" s="443">
        <f t="shared" si="7"/>
        <v>84795.773333333345</v>
      </c>
      <c r="AF45" s="443">
        <f t="shared" si="7"/>
        <v>84795.773333333345</v>
      </c>
      <c r="AG45" s="443">
        <f t="shared" si="7"/>
        <v>84795.773333333345</v>
      </c>
      <c r="AH45" s="443">
        <f t="shared" si="7"/>
        <v>96416.588300000003</v>
      </c>
      <c r="AI45" s="443">
        <f t="shared" si="7"/>
        <v>96416.588300000003</v>
      </c>
      <c r="AJ45" s="443">
        <f t="shared" si="7"/>
        <v>96416.588300000003</v>
      </c>
      <c r="AK45" s="443">
        <f t="shared" si="7"/>
        <v>96416.588300000003</v>
      </c>
      <c r="AL45" s="443">
        <f t="shared" si="7"/>
        <v>96416.588300000003</v>
      </c>
      <c r="AM45" s="443">
        <f t="shared" si="7"/>
        <v>96416.588300000003</v>
      </c>
      <c r="AN45" s="443">
        <f t="shared" si="7"/>
        <v>96416.588300000003</v>
      </c>
      <c r="AO45" s="443">
        <f t="shared" si="7"/>
        <v>96416.588300000003</v>
      </c>
      <c r="AP45" s="443">
        <f t="shared" si="7"/>
        <v>96416.588300000003</v>
      </c>
      <c r="AQ45" s="443">
        <f t="shared" si="7"/>
        <v>96416.588300000003</v>
      </c>
      <c r="AR45" s="443">
        <f t="shared" si="7"/>
        <v>96416.588300000003</v>
      </c>
      <c r="AS45" s="443">
        <f t="shared" ref="AS45" si="8">SUM(AS31:AS44)</f>
        <v>96416.588300000003</v>
      </c>
    </row>
    <row r="46" spans="1:45" ht="15">
      <c r="A46" s="59"/>
      <c r="B46" s="62"/>
      <c r="C46" s="62"/>
      <c r="D46" s="62"/>
      <c r="E46" s="62"/>
      <c r="F46" s="62"/>
      <c r="G46" s="62"/>
      <c r="H46" s="62"/>
      <c r="I46" s="62"/>
      <c r="J46" s="108"/>
      <c r="K46" s="108"/>
      <c r="L46" s="108"/>
      <c r="M46" s="62"/>
      <c r="N46" s="6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</row>
    <row r="47" spans="1:45" ht="15">
      <c r="A47" s="59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</row>
    <row r="48" spans="1:45" ht="15">
      <c r="A48" s="59"/>
      <c r="B48" s="66" t="s">
        <v>248</v>
      </c>
      <c r="C48" s="99"/>
      <c r="D48" s="116"/>
      <c r="E48" s="116"/>
      <c r="F48" s="116"/>
      <c r="G48" s="116"/>
      <c r="H48" s="116"/>
      <c r="I48" s="116"/>
      <c r="J48" s="80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</row>
    <row r="49" spans="1:45" ht="15">
      <c r="A49" s="59"/>
      <c r="B49" s="68"/>
      <c r="C49" s="111"/>
      <c r="D49" s="111"/>
      <c r="E49" s="111"/>
      <c r="F49" s="111"/>
      <c r="G49" s="111"/>
      <c r="H49" s="111"/>
      <c r="I49" s="111"/>
      <c r="J49" s="80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</row>
    <row r="50" spans="1:45" ht="15">
      <c r="A50" s="59"/>
      <c r="B50" s="58"/>
      <c r="C50" s="59"/>
      <c r="D50" s="59"/>
      <c r="E50" s="59"/>
      <c r="F50" s="59"/>
      <c r="G50" s="59"/>
      <c r="H50" s="59"/>
      <c r="I50" s="59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</row>
    <row r="51" spans="1:45" ht="15">
      <c r="A51" s="59"/>
      <c r="B51" s="58"/>
      <c r="C51" s="59"/>
      <c r="D51" s="59"/>
      <c r="E51" s="59"/>
      <c r="F51" s="59"/>
      <c r="G51" s="59"/>
      <c r="H51" s="59"/>
      <c r="I51" s="59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</row>
    <row r="52" spans="1:45" ht="15">
      <c r="A52" s="59"/>
      <c r="B52" s="58"/>
      <c r="C52" s="59"/>
      <c r="D52" s="59"/>
      <c r="E52" s="59"/>
      <c r="F52" s="59"/>
      <c r="G52" s="59"/>
      <c r="H52" s="59"/>
      <c r="I52" s="59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</row>
    <row r="53" spans="1:45" ht="15">
      <c r="A53" s="59"/>
      <c r="B53" s="58"/>
      <c r="C53" s="59"/>
      <c r="D53" s="59"/>
      <c r="E53" s="59"/>
      <c r="F53" s="59"/>
      <c r="G53" s="59"/>
      <c r="H53" s="59"/>
      <c r="I53" s="59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</row>
    <row r="54" spans="1:45" ht="15">
      <c r="A54" s="59"/>
      <c r="B54" s="58"/>
      <c r="C54" s="59"/>
      <c r="D54" s="59"/>
      <c r="E54" s="59"/>
      <c r="F54" s="59"/>
      <c r="G54" s="59"/>
      <c r="H54" s="59"/>
      <c r="I54" s="59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</row>
    <row r="55" spans="1:45" ht="15">
      <c r="A55" s="59"/>
      <c r="B55" s="58"/>
      <c r="C55" s="59"/>
      <c r="D55" s="59"/>
      <c r="E55" s="59"/>
      <c r="F55" s="59"/>
      <c r="G55" s="59"/>
      <c r="H55" s="59"/>
      <c r="I55" s="59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</row>
    <row r="56" spans="1:45" ht="15">
      <c r="A56" s="59"/>
      <c r="B56" s="58"/>
      <c r="C56" s="59"/>
      <c r="D56" s="59"/>
      <c r="E56" s="59"/>
      <c r="F56" s="59"/>
      <c r="G56" s="59"/>
      <c r="H56" s="59"/>
      <c r="I56" s="59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</row>
    <row r="57" spans="1:45" ht="15">
      <c r="A57" s="59"/>
      <c r="B57" s="58"/>
      <c r="C57" s="59"/>
      <c r="D57" s="59"/>
      <c r="E57" s="59"/>
      <c r="F57" s="59"/>
      <c r="G57" s="59"/>
      <c r="H57" s="59"/>
      <c r="I57" s="59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</row>
    <row r="58" spans="1:45" ht="15">
      <c r="A58" s="59"/>
      <c r="B58" s="58"/>
      <c r="C58" s="59"/>
      <c r="D58" s="59"/>
      <c r="E58" s="59"/>
      <c r="F58" s="59"/>
      <c r="G58" s="59"/>
      <c r="H58" s="59"/>
      <c r="I58" s="59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</row>
    <row r="59" spans="1:45" ht="15">
      <c r="A59" s="59"/>
      <c r="B59" s="58"/>
      <c r="C59" s="59"/>
      <c r="D59" s="59"/>
      <c r="E59" s="59"/>
      <c r="F59" s="59"/>
      <c r="G59" s="59"/>
      <c r="H59" s="59"/>
      <c r="I59" s="59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</row>
    <row r="60" spans="1:45" ht="15">
      <c r="A60" s="59"/>
      <c r="B60" s="58"/>
      <c r="C60" s="59"/>
      <c r="D60" s="59"/>
      <c r="E60" s="59"/>
      <c r="F60" s="59"/>
      <c r="G60" s="59"/>
      <c r="H60" s="59"/>
      <c r="I60" s="59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</row>
    <row r="61" spans="1:45" ht="15">
      <c r="A61" s="59"/>
      <c r="B61" s="58"/>
      <c r="C61" s="59"/>
      <c r="D61" s="59"/>
      <c r="E61" s="59"/>
      <c r="F61" s="59"/>
      <c r="G61" s="59"/>
      <c r="H61" s="59"/>
      <c r="I61" s="59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</row>
    <row r="62" spans="1:45" ht="15">
      <c r="A62" s="59"/>
      <c r="B62" s="58"/>
      <c r="C62" s="59"/>
      <c r="D62" s="59"/>
      <c r="E62" s="59"/>
      <c r="F62" s="59"/>
      <c r="G62" s="59"/>
      <c r="H62" s="59"/>
      <c r="I62" s="59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</row>
    <row r="63" spans="1:45" ht="15">
      <c r="A63" s="59"/>
      <c r="B63" s="58"/>
      <c r="C63" s="59"/>
      <c r="D63" s="59"/>
      <c r="E63" s="59"/>
      <c r="F63" s="59"/>
      <c r="G63" s="59"/>
      <c r="H63" s="59"/>
      <c r="I63" s="59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</row>
    <row r="64" spans="1:45" ht="15">
      <c r="A64" s="59"/>
      <c r="B64" s="58"/>
      <c r="C64" s="59"/>
      <c r="D64" s="59"/>
      <c r="E64" s="59"/>
      <c r="F64" s="59"/>
      <c r="G64" s="59"/>
      <c r="H64" s="59"/>
      <c r="I64" s="59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</row>
    <row r="65" spans="1:45" ht="15">
      <c r="A65" s="59"/>
      <c r="B65" s="58"/>
      <c r="C65" s="59"/>
      <c r="D65" s="59"/>
      <c r="E65" s="59"/>
      <c r="F65" s="59"/>
      <c r="G65" s="59"/>
      <c r="H65" s="59"/>
      <c r="I65" s="59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</row>
    <row r="66" spans="1:45" ht="15">
      <c r="A66" s="59"/>
      <c r="B66" s="58"/>
      <c r="C66" s="59"/>
      <c r="D66" s="59"/>
      <c r="E66" s="59"/>
      <c r="F66" s="59"/>
      <c r="G66" s="59"/>
      <c r="H66" s="59"/>
      <c r="I66" s="59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/>
  </sheetPr>
  <dimension ref="A1:AR77"/>
  <sheetViews>
    <sheetView showGridLines="0" workbookViewId="0">
      <pane xSplit="4" topLeftCell="E1" activePane="topRight" state="frozen"/>
      <selection pane="topRight" activeCell="E21" sqref="E21"/>
    </sheetView>
  </sheetViews>
  <sheetFormatPr baseColWidth="10" defaultColWidth="8.83203125" defaultRowHeight="14"/>
  <cols>
    <col min="1" max="1" width="2.5" style="21" customWidth="1"/>
    <col min="2" max="2" width="34.1640625" style="16" customWidth="1"/>
    <col min="3" max="3" width="9" style="21" customWidth="1"/>
    <col min="4" max="4" width="8.33203125" style="21" customWidth="1"/>
    <col min="5" max="9" width="10.6640625" style="16" customWidth="1"/>
    <col min="10" max="13" width="8.83203125" style="16"/>
    <col min="14" max="14" width="8.83203125" style="16" customWidth="1"/>
    <col min="15" max="16384" width="8.83203125" style="16"/>
  </cols>
  <sheetData>
    <row r="1" spans="1:44" s="323" customFormat="1" ht="16">
      <c r="A1" s="297" t="s">
        <v>230</v>
      </c>
      <c r="B1" s="298"/>
      <c r="C1" s="299"/>
      <c r="D1" s="299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</row>
    <row r="2" spans="1:44" s="11" customFormat="1" ht="15">
      <c r="A2" s="65"/>
      <c r="B2" s="56"/>
      <c r="C2" s="65"/>
      <c r="D2" s="65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</row>
    <row r="3" spans="1:44" s="327" customFormat="1" ht="15">
      <c r="A3" s="328">
        <v>1</v>
      </c>
      <c r="B3" s="329" t="s">
        <v>229</v>
      </c>
      <c r="C3" s="325"/>
      <c r="D3" s="325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</row>
    <row r="4" spans="1:44" s="11" customFormat="1" ht="15">
      <c r="A4" s="65"/>
      <c r="B4" s="56"/>
      <c r="C4" s="65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</row>
    <row r="5" spans="1:44" s="11" customFormat="1" ht="15">
      <c r="A5" s="65"/>
      <c r="B5" s="176" t="s">
        <v>534</v>
      </c>
      <c r="C5" s="102"/>
      <c r="D5" s="56"/>
      <c r="E5" s="163">
        <f>'Revenue &amp; COGS Building'!O12</f>
        <v>46053</v>
      </c>
      <c r="F5" s="163">
        <f>'Revenue &amp; COGS Building'!P12</f>
        <v>46054</v>
      </c>
      <c r="G5" s="163">
        <f>'Revenue &amp; COGS Building'!Q12</f>
        <v>46082</v>
      </c>
      <c r="H5" s="163">
        <f>'Revenue &amp; COGS Building'!R12</f>
        <v>46113</v>
      </c>
      <c r="I5" s="163">
        <f>'Revenue &amp; COGS Building'!S12</f>
        <v>46143</v>
      </c>
      <c r="J5" s="163">
        <f>'Revenue &amp; COGS Building'!T12</f>
        <v>46174</v>
      </c>
      <c r="K5" s="163">
        <f>'Revenue &amp; COGS Building'!U12</f>
        <v>46204</v>
      </c>
      <c r="L5" s="163">
        <f>'Revenue &amp; COGS Building'!V12</f>
        <v>46235</v>
      </c>
      <c r="M5" s="163">
        <f>'Revenue &amp; COGS Building'!W12</f>
        <v>46266</v>
      </c>
      <c r="N5" s="163">
        <f>'Revenue &amp; COGS Building'!X12</f>
        <v>46296</v>
      </c>
      <c r="O5" s="163">
        <f>'Revenue &amp; COGS Building'!Y12</f>
        <v>46327</v>
      </c>
      <c r="P5" s="163">
        <f>'Revenue &amp; COGS Building'!Z12</f>
        <v>46357</v>
      </c>
      <c r="Q5" s="163">
        <f>'Revenue &amp; COGS Building'!AA12</f>
        <v>46388</v>
      </c>
      <c r="R5" s="163">
        <f>'Revenue &amp; COGS Building'!AB12</f>
        <v>46419</v>
      </c>
      <c r="S5" s="163">
        <f>'Revenue &amp; COGS Building'!AC12</f>
        <v>46447</v>
      </c>
      <c r="T5" s="163">
        <f>'Revenue &amp; COGS Building'!AD12</f>
        <v>46478</v>
      </c>
      <c r="U5" s="163">
        <f>'Revenue &amp; COGS Building'!AE12</f>
        <v>46508</v>
      </c>
      <c r="V5" s="163">
        <f>'Revenue &amp; COGS Building'!AF12</f>
        <v>46539</v>
      </c>
      <c r="W5" s="163">
        <f>'Revenue &amp; COGS Building'!AG12</f>
        <v>46569</v>
      </c>
      <c r="X5" s="163">
        <f>'Revenue &amp; COGS Building'!AH12</f>
        <v>46600</v>
      </c>
      <c r="Y5" s="163">
        <f>'Revenue &amp; COGS Building'!AI12</f>
        <v>46631</v>
      </c>
      <c r="Z5" s="163">
        <f>'Revenue &amp; COGS Building'!AJ12</f>
        <v>46661</v>
      </c>
      <c r="AA5" s="163">
        <f>'Revenue &amp; COGS Building'!AK12</f>
        <v>46692</v>
      </c>
      <c r="AB5" s="163">
        <f>'Revenue &amp; COGS Building'!AL12</f>
        <v>46722</v>
      </c>
      <c r="AC5" s="163">
        <f>'Revenue &amp; COGS Building'!AM12</f>
        <v>46753</v>
      </c>
      <c r="AD5" s="163">
        <f>'Revenue &amp; COGS Building'!AN12</f>
        <v>46784</v>
      </c>
      <c r="AE5" s="163">
        <f>'Revenue &amp; COGS Building'!AO12</f>
        <v>46813</v>
      </c>
      <c r="AF5" s="163">
        <f>'Revenue &amp; COGS Building'!AP12</f>
        <v>46844</v>
      </c>
      <c r="AG5" s="163">
        <f>'Revenue &amp; COGS Building'!AQ12</f>
        <v>46874</v>
      </c>
      <c r="AH5" s="163">
        <f>'Revenue &amp; COGS Building'!AR12</f>
        <v>46905</v>
      </c>
      <c r="AI5" s="163">
        <f>'Revenue &amp; COGS Building'!AS12</f>
        <v>46935</v>
      </c>
      <c r="AJ5" s="163">
        <f>'Revenue &amp; COGS Building'!AT12</f>
        <v>46966</v>
      </c>
      <c r="AK5" s="163">
        <f>'Revenue &amp; COGS Building'!AU12</f>
        <v>46997</v>
      </c>
      <c r="AL5" s="163">
        <f>'Revenue &amp; COGS Building'!AV12</f>
        <v>47027</v>
      </c>
      <c r="AM5" s="163">
        <f>'Revenue &amp; COGS Building'!AW12</f>
        <v>47058</v>
      </c>
      <c r="AN5" s="163">
        <f>'Revenue &amp; COGS Building'!AX12</f>
        <v>47088</v>
      </c>
      <c r="AO5" s="163"/>
      <c r="AP5" s="163"/>
      <c r="AQ5" s="163"/>
      <c r="AR5" s="163"/>
    </row>
    <row r="6" spans="1:44" ht="15">
      <c r="A6" s="59"/>
      <c r="B6" s="176" t="s">
        <v>532</v>
      </c>
      <c r="C6" s="59"/>
      <c r="D6" s="59"/>
      <c r="E6" s="428">
        <f>'Revenue &amp; COGS Building'!O13</f>
        <v>1</v>
      </c>
      <c r="F6" s="428">
        <f>'Revenue &amp; COGS Building'!P13</f>
        <v>2</v>
      </c>
      <c r="G6" s="428">
        <f>'Revenue &amp; COGS Building'!Q13</f>
        <v>3</v>
      </c>
      <c r="H6" s="428">
        <f>'Revenue &amp; COGS Building'!R13</f>
        <v>4</v>
      </c>
      <c r="I6" s="428">
        <f>'Revenue &amp; COGS Building'!S13</f>
        <v>5</v>
      </c>
      <c r="J6" s="428">
        <f>'Revenue &amp; COGS Building'!T13</f>
        <v>6</v>
      </c>
      <c r="K6" s="428">
        <f>'Revenue &amp; COGS Building'!U13</f>
        <v>7</v>
      </c>
      <c r="L6" s="428">
        <f>'Revenue &amp; COGS Building'!V13</f>
        <v>8</v>
      </c>
      <c r="M6" s="428">
        <f>'Revenue &amp; COGS Building'!W13</f>
        <v>9</v>
      </c>
      <c r="N6" s="428">
        <f>'Revenue &amp; COGS Building'!X13</f>
        <v>10</v>
      </c>
      <c r="O6" s="428">
        <f>'Revenue &amp; COGS Building'!Y13</f>
        <v>11</v>
      </c>
      <c r="P6" s="428">
        <f>'Revenue &amp; COGS Building'!Z13</f>
        <v>12</v>
      </c>
      <c r="Q6" s="428">
        <f>'Revenue &amp; COGS Building'!AA13</f>
        <v>13</v>
      </c>
      <c r="R6" s="428">
        <f>'Revenue &amp; COGS Building'!AB13</f>
        <v>14</v>
      </c>
      <c r="S6" s="428">
        <f>'Revenue &amp; COGS Building'!AC13</f>
        <v>15</v>
      </c>
      <c r="T6" s="428">
        <f>'Revenue &amp; COGS Building'!AD13</f>
        <v>16</v>
      </c>
      <c r="U6" s="428">
        <f>'Revenue &amp; COGS Building'!AE13</f>
        <v>17</v>
      </c>
      <c r="V6" s="428">
        <f>'Revenue &amp; COGS Building'!AF13</f>
        <v>18</v>
      </c>
      <c r="W6" s="428">
        <f>'Revenue &amp; COGS Building'!AG13</f>
        <v>19</v>
      </c>
      <c r="X6" s="428">
        <f>'Revenue &amp; COGS Building'!AH13</f>
        <v>20</v>
      </c>
      <c r="Y6" s="428">
        <f>'Revenue &amp; COGS Building'!AI13</f>
        <v>21</v>
      </c>
      <c r="Z6" s="428">
        <f>'Revenue &amp; COGS Building'!AJ13</f>
        <v>22</v>
      </c>
      <c r="AA6" s="428">
        <f>'Revenue &amp; COGS Building'!AK13</f>
        <v>23</v>
      </c>
      <c r="AB6" s="428">
        <f>'Revenue &amp; COGS Building'!AL13</f>
        <v>24</v>
      </c>
      <c r="AC6" s="428">
        <f>'Revenue &amp; COGS Building'!AM13</f>
        <v>25</v>
      </c>
      <c r="AD6" s="428">
        <f>'Revenue &amp; COGS Building'!AN13</f>
        <v>26</v>
      </c>
      <c r="AE6" s="428">
        <f>'Revenue &amp; COGS Building'!AO13</f>
        <v>27</v>
      </c>
      <c r="AF6" s="428">
        <f>'Revenue &amp; COGS Building'!AP13</f>
        <v>28</v>
      </c>
      <c r="AG6" s="428">
        <f>'Revenue &amp; COGS Building'!AQ13</f>
        <v>29</v>
      </c>
      <c r="AH6" s="428">
        <f>'Revenue &amp; COGS Building'!AR13</f>
        <v>30</v>
      </c>
      <c r="AI6" s="428">
        <f>'Revenue &amp; COGS Building'!AS13</f>
        <v>31</v>
      </c>
      <c r="AJ6" s="428">
        <f>'Revenue &amp; COGS Building'!AT13</f>
        <v>32</v>
      </c>
      <c r="AK6" s="428">
        <f>'Revenue &amp; COGS Building'!AU13</f>
        <v>33</v>
      </c>
      <c r="AL6" s="428">
        <f>'Revenue &amp; COGS Building'!AV13</f>
        <v>34</v>
      </c>
      <c r="AM6" s="428">
        <f>'Revenue &amp; COGS Building'!AW13</f>
        <v>35</v>
      </c>
      <c r="AN6" s="428">
        <f>'Revenue &amp; COGS Building'!AX13</f>
        <v>36</v>
      </c>
      <c r="AO6" s="438"/>
      <c r="AP6" s="438"/>
      <c r="AQ6" s="438"/>
      <c r="AR6" s="438"/>
    </row>
    <row r="7" spans="1:44" ht="15">
      <c r="A7" s="59"/>
      <c r="B7" s="176" t="s">
        <v>533</v>
      </c>
      <c r="C7" s="165"/>
      <c r="D7" s="165" t="s">
        <v>549</v>
      </c>
      <c r="E7" s="428">
        <f>'Revenue &amp; COGS Building'!O14</f>
        <v>1</v>
      </c>
      <c r="F7" s="428">
        <f>'Revenue &amp; COGS Building'!P14</f>
        <v>1</v>
      </c>
      <c r="G7" s="428">
        <f>'Revenue &amp; COGS Building'!Q14</f>
        <v>1</v>
      </c>
      <c r="H7" s="428">
        <f>'Revenue &amp; COGS Building'!R14</f>
        <v>1</v>
      </c>
      <c r="I7" s="428">
        <f>'Revenue &amp; COGS Building'!S14</f>
        <v>1</v>
      </c>
      <c r="J7" s="428">
        <f>'Revenue &amp; COGS Building'!T14</f>
        <v>1</v>
      </c>
      <c r="K7" s="428">
        <f>'Revenue &amp; COGS Building'!U14</f>
        <v>1</v>
      </c>
      <c r="L7" s="428">
        <f>'Revenue &amp; COGS Building'!V14</f>
        <v>1</v>
      </c>
      <c r="M7" s="428">
        <f>'Revenue &amp; COGS Building'!W14</f>
        <v>1</v>
      </c>
      <c r="N7" s="428">
        <f>'Revenue &amp; COGS Building'!X14</f>
        <v>1</v>
      </c>
      <c r="O7" s="428">
        <f>'Revenue &amp; COGS Building'!Y14</f>
        <v>1</v>
      </c>
      <c r="P7" s="428">
        <f>'Revenue &amp; COGS Building'!Z14</f>
        <v>1</v>
      </c>
      <c r="Q7" s="428">
        <f>'Revenue &amp; COGS Building'!AA14</f>
        <v>2</v>
      </c>
      <c r="R7" s="428">
        <f>'Revenue &amp; COGS Building'!AB14</f>
        <v>2</v>
      </c>
      <c r="S7" s="428">
        <f>'Revenue &amp; COGS Building'!AC14</f>
        <v>2</v>
      </c>
      <c r="T7" s="428">
        <f>'Revenue &amp; COGS Building'!AD14</f>
        <v>2</v>
      </c>
      <c r="U7" s="428">
        <f>'Revenue &amp; COGS Building'!AE14</f>
        <v>2</v>
      </c>
      <c r="V7" s="428">
        <f>'Revenue &amp; COGS Building'!AF14</f>
        <v>2</v>
      </c>
      <c r="W7" s="428">
        <f>'Revenue &amp; COGS Building'!AG14</f>
        <v>2</v>
      </c>
      <c r="X7" s="428">
        <f>'Revenue &amp; COGS Building'!AH14</f>
        <v>2</v>
      </c>
      <c r="Y7" s="428">
        <f>'Revenue &amp; COGS Building'!AI14</f>
        <v>2</v>
      </c>
      <c r="Z7" s="428">
        <f>'Revenue &amp; COGS Building'!AJ14</f>
        <v>2</v>
      </c>
      <c r="AA7" s="428">
        <f>'Revenue &amp; COGS Building'!AK14</f>
        <v>2</v>
      </c>
      <c r="AB7" s="428">
        <f>'Revenue &amp; COGS Building'!AL14</f>
        <v>2</v>
      </c>
      <c r="AC7" s="428">
        <f>'Revenue &amp; COGS Building'!AM14</f>
        <v>3</v>
      </c>
      <c r="AD7" s="428">
        <f>'Revenue &amp; COGS Building'!AN14</f>
        <v>3</v>
      </c>
      <c r="AE7" s="428">
        <f>'Revenue &amp; COGS Building'!AO14</f>
        <v>3</v>
      </c>
      <c r="AF7" s="428">
        <f>'Revenue &amp; COGS Building'!AP14</f>
        <v>3</v>
      </c>
      <c r="AG7" s="428">
        <f>'Revenue &amp; COGS Building'!AQ14</f>
        <v>3</v>
      </c>
      <c r="AH7" s="428">
        <f>'Revenue &amp; COGS Building'!AR14</f>
        <v>3</v>
      </c>
      <c r="AI7" s="428">
        <f>'Revenue &amp; COGS Building'!AS14</f>
        <v>3</v>
      </c>
      <c r="AJ7" s="428">
        <f>'Revenue &amp; COGS Building'!AT14</f>
        <v>3</v>
      </c>
      <c r="AK7" s="428">
        <f>'Revenue &amp; COGS Building'!AU14</f>
        <v>3</v>
      </c>
      <c r="AL7" s="428">
        <f>'Revenue &amp; COGS Building'!AV14</f>
        <v>3</v>
      </c>
      <c r="AM7" s="428">
        <f>'Revenue &amp; COGS Building'!AW14</f>
        <v>3</v>
      </c>
      <c r="AN7" s="428">
        <f>'Revenue &amp; COGS Building'!AX14</f>
        <v>3</v>
      </c>
      <c r="AO7" s="438"/>
      <c r="AP7" s="438"/>
      <c r="AQ7" s="438"/>
      <c r="AR7" s="438"/>
    </row>
    <row r="8" spans="1:44" ht="16" thickBot="1">
      <c r="A8" s="59"/>
      <c r="B8" s="346" t="s">
        <v>88</v>
      </c>
      <c r="C8" s="343">
        <f>'Historicals &amp; Projections'!C6</f>
        <v>2024</v>
      </c>
      <c r="D8" s="343">
        <f>'Historicals &amp; Projections'!D6</f>
        <v>2025</v>
      </c>
      <c r="E8" s="343">
        <f>'Revenue &amp; COGS Building'!O15</f>
        <v>2026</v>
      </c>
      <c r="F8" s="343">
        <f>'Revenue &amp; COGS Building'!P15</f>
        <v>2026</v>
      </c>
      <c r="G8" s="343">
        <f>'Revenue &amp; COGS Building'!Q15</f>
        <v>2026</v>
      </c>
      <c r="H8" s="343">
        <f>'Revenue &amp; COGS Building'!R15</f>
        <v>2026</v>
      </c>
      <c r="I8" s="343">
        <f>'Revenue &amp; COGS Building'!S15</f>
        <v>2026</v>
      </c>
      <c r="J8" s="343">
        <f>'Revenue &amp; COGS Building'!T15</f>
        <v>2026</v>
      </c>
      <c r="K8" s="343">
        <f>'Revenue &amp; COGS Building'!U15</f>
        <v>2026</v>
      </c>
      <c r="L8" s="343">
        <f>'Revenue &amp; COGS Building'!V15</f>
        <v>2026</v>
      </c>
      <c r="M8" s="343">
        <f>'Revenue &amp; COGS Building'!W15</f>
        <v>2026</v>
      </c>
      <c r="N8" s="343">
        <f>'Revenue &amp; COGS Building'!X15</f>
        <v>2026</v>
      </c>
      <c r="O8" s="343">
        <f>'Revenue &amp; COGS Building'!Y15</f>
        <v>2026</v>
      </c>
      <c r="P8" s="343">
        <f>'Revenue &amp; COGS Building'!Z15</f>
        <v>2026</v>
      </c>
      <c r="Q8" s="343">
        <f>'Revenue &amp; COGS Building'!AA15</f>
        <v>2027</v>
      </c>
      <c r="R8" s="343">
        <f>'Revenue &amp; COGS Building'!AB15</f>
        <v>2027</v>
      </c>
      <c r="S8" s="343">
        <f>'Revenue &amp; COGS Building'!AC15</f>
        <v>2027</v>
      </c>
      <c r="T8" s="343">
        <f>'Revenue &amp; COGS Building'!AD15</f>
        <v>2027</v>
      </c>
      <c r="U8" s="343">
        <f>'Revenue &amp; COGS Building'!AE15</f>
        <v>2027</v>
      </c>
      <c r="V8" s="343">
        <f>'Revenue &amp; COGS Building'!AF15</f>
        <v>2027</v>
      </c>
      <c r="W8" s="343">
        <f>'Revenue &amp; COGS Building'!AG15</f>
        <v>2027</v>
      </c>
      <c r="X8" s="343">
        <f>'Revenue &amp; COGS Building'!AH15</f>
        <v>2027</v>
      </c>
      <c r="Y8" s="343">
        <f>'Revenue &amp; COGS Building'!AI15</f>
        <v>2027</v>
      </c>
      <c r="Z8" s="343">
        <f>'Revenue &amp; COGS Building'!AJ15</f>
        <v>2027</v>
      </c>
      <c r="AA8" s="343">
        <f>'Revenue &amp; COGS Building'!AK15</f>
        <v>2027</v>
      </c>
      <c r="AB8" s="343">
        <f>'Revenue &amp; COGS Building'!AL15</f>
        <v>2027</v>
      </c>
      <c r="AC8" s="343">
        <f>'Revenue &amp; COGS Building'!AM15</f>
        <v>2028</v>
      </c>
      <c r="AD8" s="343">
        <f>'Revenue &amp; COGS Building'!AN15</f>
        <v>2028</v>
      </c>
      <c r="AE8" s="343">
        <f>'Revenue &amp; COGS Building'!AO15</f>
        <v>2028</v>
      </c>
      <c r="AF8" s="343">
        <f>'Revenue &amp; COGS Building'!AP15</f>
        <v>2028</v>
      </c>
      <c r="AG8" s="343">
        <f>'Revenue &amp; COGS Building'!AQ15</f>
        <v>2028</v>
      </c>
      <c r="AH8" s="343">
        <f>'Revenue &amp; COGS Building'!AR15</f>
        <v>2028</v>
      </c>
      <c r="AI8" s="343">
        <f>'Revenue &amp; COGS Building'!AS15</f>
        <v>2028</v>
      </c>
      <c r="AJ8" s="343">
        <f>'Revenue &amp; COGS Building'!AT15</f>
        <v>2028</v>
      </c>
      <c r="AK8" s="343">
        <f>'Revenue &amp; COGS Building'!AU15</f>
        <v>2028</v>
      </c>
      <c r="AL8" s="343">
        <f>'Revenue &amp; COGS Building'!AV15</f>
        <v>2028</v>
      </c>
      <c r="AM8" s="343">
        <f>'Revenue &amp; COGS Building'!AW15</f>
        <v>2028</v>
      </c>
      <c r="AN8" s="343">
        <f>'Revenue &amp; COGS Building'!AX15</f>
        <v>2028</v>
      </c>
      <c r="AO8" s="437"/>
      <c r="AP8" s="437"/>
      <c r="AQ8" s="437"/>
      <c r="AR8" s="437"/>
    </row>
    <row r="9" spans="1:44" ht="15">
      <c r="A9" s="59"/>
      <c r="B9" s="103"/>
      <c r="C9" s="62"/>
      <c r="D9" s="62"/>
      <c r="E9" s="62"/>
      <c r="F9" s="62"/>
      <c r="G9" s="104"/>
      <c r="H9" s="62"/>
      <c r="I9" s="62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</row>
    <row r="10" spans="1:44" ht="15">
      <c r="A10" s="59"/>
      <c r="B10" s="105" t="s">
        <v>70</v>
      </c>
      <c r="C10" s="576">
        <f>+'Ratio Analysis'!C31</f>
        <v>16.425000000000001</v>
      </c>
      <c r="D10" s="576">
        <f>+'Ratio Analysis'!D31</f>
        <v>15.761363636363637</v>
      </c>
      <c r="E10" s="467">
        <f>$D10/Assumptions!$C$6</f>
        <v>1.3134469696969697</v>
      </c>
      <c r="F10" s="467">
        <f>$D10/Assumptions!$C$6</f>
        <v>1.3134469696969697</v>
      </c>
      <c r="G10" s="467">
        <f>$D10/Assumptions!$C$6</f>
        <v>1.3134469696969697</v>
      </c>
      <c r="H10" s="467">
        <f>$D10/Assumptions!$C$6</f>
        <v>1.3134469696969697</v>
      </c>
      <c r="I10" s="467">
        <f>$D10/Assumptions!$C$6</f>
        <v>1.3134469696969697</v>
      </c>
      <c r="J10" s="467">
        <f>$D10/Assumptions!$C$6</f>
        <v>1.3134469696969697</v>
      </c>
      <c r="K10" s="467">
        <f>$D10/Assumptions!$C$6</f>
        <v>1.3134469696969697</v>
      </c>
      <c r="L10" s="467">
        <f>$D10/Assumptions!$C$6</f>
        <v>1.3134469696969697</v>
      </c>
      <c r="M10" s="467">
        <f>$D10/Assumptions!$C$6</f>
        <v>1.3134469696969697</v>
      </c>
      <c r="N10" s="467">
        <f>$D10/Assumptions!$C$6</f>
        <v>1.3134469696969697</v>
      </c>
      <c r="O10" s="467">
        <f>$D10/Assumptions!$C$6</f>
        <v>1.3134469696969697</v>
      </c>
      <c r="P10" s="467">
        <f>$D10/Assumptions!$C$6</f>
        <v>1.3134469696969697</v>
      </c>
      <c r="Q10" s="467">
        <f>$D10/Assumptions!$C$6</f>
        <v>1.3134469696969697</v>
      </c>
      <c r="R10" s="467">
        <f>$D10/Assumptions!$C$6</f>
        <v>1.3134469696969697</v>
      </c>
      <c r="S10" s="467">
        <f>$D10/Assumptions!$C$6</f>
        <v>1.3134469696969697</v>
      </c>
      <c r="T10" s="467">
        <f>$D10/Assumptions!$C$6</f>
        <v>1.3134469696969697</v>
      </c>
      <c r="U10" s="467">
        <f>$D10/Assumptions!$C$6</f>
        <v>1.3134469696969697</v>
      </c>
      <c r="V10" s="467">
        <f>$D10/Assumptions!$C$6</f>
        <v>1.3134469696969697</v>
      </c>
      <c r="W10" s="467">
        <f>$D10/Assumptions!$C$6</f>
        <v>1.3134469696969697</v>
      </c>
      <c r="X10" s="467">
        <f>$D10/Assumptions!$C$6</f>
        <v>1.3134469696969697</v>
      </c>
      <c r="Y10" s="467">
        <f>$D10/Assumptions!$C$6</f>
        <v>1.3134469696969697</v>
      </c>
      <c r="Z10" s="467">
        <f>$D10/Assumptions!$C$6</f>
        <v>1.3134469696969697</v>
      </c>
      <c r="AA10" s="467">
        <f>$D10/Assumptions!$C$6</f>
        <v>1.3134469696969697</v>
      </c>
      <c r="AB10" s="467">
        <f>$D10/Assumptions!$C$6</f>
        <v>1.3134469696969697</v>
      </c>
      <c r="AC10" s="467">
        <f>$D10/Assumptions!$C$6</f>
        <v>1.3134469696969697</v>
      </c>
      <c r="AD10" s="467">
        <f>$D10/Assumptions!$C$6</f>
        <v>1.3134469696969697</v>
      </c>
      <c r="AE10" s="467">
        <f>$D10/Assumptions!$C$6</f>
        <v>1.3134469696969697</v>
      </c>
      <c r="AF10" s="467">
        <f>$D10/Assumptions!$C$6</f>
        <v>1.3134469696969697</v>
      </c>
      <c r="AG10" s="467">
        <f>$D10/Assumptions!$C$6</f>
        <v>1.3134469696969697</v>
      </c>
      <c r="AH10" s="467">
        <f>$D10/Assumptions!$C$6</f>
        <v>1.3134469696969697</v>
      </c>
      <c r="AI10" s="467">
        <f>$D10/Assumptions!$C$6</f>
        <v>1.3134469696969697</v>
      </c>
      <c r="AJ10" s="467">
        <f>$D10/Assumptions!$C$6</f>
        <v>1.3134469696969697</v>
      </c>
      <c r="AK10" s="467">
        <f>$D10/Assumptions!$C$6</f>
        <v>1.3134469696969697</v>
      </c>
      <c r="AL10" s="467">
        <f>$D10/Assumptions!$C$6</f>
        <v>1.3134469696969697</v>
      </c>
      <c r="AM10" s="467">
        <f>$D10/Assumptions!$C$6</f>
        <v>1.3134469696969697</v>
      </c>
      <c r="AN10" s="467">
        <f>$D10/Assumptions!$C$6</f>
        <v>1.3134469696969697</v>
      </c>
      <c r="AO10" s="439"/>
      <c r="AP10" s="439"/>
      <c r="AQ10" s="439"/>
      <c r="AR10" s="439"/>
    </row>
    <row r="11" spans="1:44" ht="15">
      <c r="A11" s="59"/>
      <c r="B11" s="105" t="s">
        <v>71</v>
      </c>
      <c r="C11" s="576">
        <f>+'Ratio Analysis'!C32</f>
        <v>11.774193548387096</v>
      </c>
      <c r="D11" s="576">
        <f>+'Ratio Analysis'!D32</f>
        <v>13.419117647058824</v>
      </c>
      <c r="E11" s="467">
        <f>$D11/Assumptions!$C$6</f>
        <v>1.1182598039215688</v>
      </c>
      <c r="F11" s="467">
        <f>$D11/Assumptions!$C$6</f>
        <v>1.1182598039215688</v>
      </c>
      <c r="G11" s="467">
        <f>$D11/Assumptions!$C$6</f>
        <v>1.1182598039215688</v>
      </c>
      <c r="H11" s="467">
        <f>$D11/Assumptions!$C$6</f>
        <v>1.1182598039215688</v>
      </c>
      <c r="I11" s="467">
        <f>$D11/Assumptions!$C$6</f>
        <v>1.1182598039215688</v>
      </c>
      <c r="J11" s="467">
        <f>$D11/Assumptions!$C$6</f>
        <v>1.1182598039215688</v>
      </c>
      <c r="K11" s="467">
        <f>$D11/Assumptions!$C$6</f>
        <v>1.1182598039215688</v>
      </c>
      <c r="L11" s="467">
        <f>$D11/Assumptions!$C$6</f>
        <v>1.1182598039215688</v>
      </c>
      <c r="M11" s="467">
        <f>$D11/Assumptions!$C$6</f>
        <v>1.1182598039215688</v>
      </c>
      <c r="N11" s="467">
        <f>$D11/Assumptions!$C$6</f>
        <v>1.1182598039215688</v>
      </c>
      <c r="O11" s="467">
        <f>$D11/Assumptions!$C$6</f>
        <v>1.1182598039215688</v>
      </c>
      <c r="P11" s="467">
        <f>$D11/Assumptions!$C$6</f>
        <v>1.1182598039215688</v>
      </c>
      <c r="Q11" s="467">
        <f>$D11/Assumptions!$C$6</f>
        <v>1.1182598039215688</v>
      </c>
      <c r="R11" s="467">
        <f>$D11/Assumptions!$C$6</f>
        <v>1.1182598039215688</v>
      </c>
      <c r="S11" s="467">
        <f>$D11/Assumptions!$C$6</f>
        <v>1.1182598039215688</v>
      </c>
      <c r="T11" s="467">
        <f>$D11/Assumptions!$C$6</f>
        <v>1.1182598039215688</v>
      </c>
      <c r="U11" s="467">
        <f>$D11/Assumptions!$C$6</f>
        <v>1.1182598039215688</v>
      </c>
      <c r="V11" s="467">
        <f>$D11/Assumptions!$C$6</f>
        <v>1.1182598039215688</v>
      </c>
      <c r="W11" s="467">
        <f>$D11/Assumptions!$C$6</f>
        <v>1.1182598039215688</v>
      </c>
      <c r="X11" s="467">
        <f>$D11/Assumptions!$C$6</f>
        <v>1.1182598039215688</v>
      </c>
      <c r="Y11" s="467">
        <f>$D11/Assumptions!$C$6</f>
        <v>1.1182598039215688</v>
      </c>
      <c r="Z11" s="467">
        <f>$D11/Assumptions!$C$6</f>
        <v>1.1182598039215688</v>
      </c>
      <c r="AA11" s="467">
        <f>$D11/Assumptions!$C$6</f>
        <v>1.1182598039215688</v>
      </c>
      <c r="AB11" s="467">
        <f>$D11/Assumptions!$C$6</f>
        <v>1.1182598039215688</v>
      </c>
      <c r="AC11" s="467">
        <f>$D11/Assumptions!$C$6</f>
        <v>1.1182598039215688</v>
      </c>
      <c r="AD11" s="467">
        <f>$D11/Assumptions!$C$6</f>
        <v>1.1182598039215688</v>
      </c>
      <c r="AE11" s="467">
        <f>$D11/Assumptions!$C$6</f>
        <v>1.1182598039215688</v>
      </c>
      <c r="AF11" s="467">
        <f>$D11/Assumptions!$C$6</f>
        <v>1.1182598039215688</v>
      </c>
      <c r="AG11" s="467">
        <f>$D11/Assumptions!$C$6</f>
        <v>1.1182598039215688</v>
      </c>
      <c r="AH11" s="467">
        <f>$D11/Assumptions!$C$6</f>
        <v>1.1182598039215688</v>
      </c>
      <c r="AI11" s="467">
        <f>$D11/Assumptions!$C$6</f>
        <v>1.1182598039215688</v>
      </c>
      <c r="AJ11" s="467">
        <f>$D11/Assumptions!$C$6</f>
        <v>1.1182598039215688</v>
      </c>
      <c r="AK11" s="467">
        <f>$D11/Assumptions!$C$6</f>
        <v>1.1182598039215688</v>
      </c>
      <c r="AL11" s="467">
        <f>$D11/Assumptions!$C$6</f>
        <v>1.1182598039215688</v>
      </c>
      <c r="AM11" s="467">
        <f>$D11/Assumptions!$C$6</f>
        <v>1.1182598039215688</v>
      </c>
      <c r="AN11" s="467">
        <f>$D11/Assumptions!$C$6</f>
        <v>1.1182598039215688</v>
      </c>
      <c r="AO11" s="439"/>
      <c r="AP11" s="439"/>
      <c r="AQ11" s="439"/>
      <c r="AR11" s="439"/>
    </row>
    <row r="12" spans="1:44" ht="15">
      <c r="A12" s="59"/>
      <c r="B12" s="105" t="s">
        <v>72</v>
      </c>
      <c r="C12" s="576">
        <f>+'Ratio Analysis'!C33</f>
        <v>5.887096774193548</v>
      </c>
      <c r="D12" s="576">
        <f>+'Ratio Analysis'!D33</f>
        <v>12.077205882352942</v>
      </c>
      <c r="E12" s="467">
        <f>$D12/Assumptions!$C$6</f>
        <v>1.0064338235294119</v>
      </c>
      <c r="F12" s="467">
        <f>$D12/Assumptions!$C$6</f>
        <v>1.0064338235294119</v>
      </c>
      <c r="G12" s="467">
        <f>$D12/Assumptions!$C$6</f>
        <v>1.0064338235294119</v>
      </c>
      <c r="H12" s="467">
        <f>$D12/Assumptions!$C$6</f>
        <v>1.0064338235294119</v>
      </c>
      <c r="I12" s="467">
        <f>$D12/Assumptions!$C$6</f>
        <v>1.0064338235294119</v>
      </c>
      <c r="J12" s="467">
        <f>$D12/Assumptions!$C$6</f>
        <v>1.0064338235294119</v>
      </c>
      <c r="K12" s="467">
        <f>$D12/Assumptions!$C$6</f>
        <v>1.0064338235294119</v>
      </c>
      <c r="L12" s="467">
        <f>$D12/Assumptions!$C$6</f>
        <v>1.0064338235294119</v>
      </c>
      <c r="M12" s="467">
        <f>$D12/Assumptions!$C$6</f>
        <v>1.0064338235294119</v>
      </c>
      <c r="N12" s="467">
        <f>$D12/Assumptions!$C$6</f>
        <v>1.0064338235294119</v>
      </c>
      <c r="O12" s="467">
        <f>$D12/Assumptions!$C$6</f>
        <v>1.0064338235294119</v>
      </c>
      <c r="P12" s="467">
        <f>$D12/Assumptions!$C$6</f>
        <v>1.0064338235294119</v>
      </c>
      <c r="Q12" s="467">
        <f>$D12/Assumptions!$C$6</f>
        <v>1.0064338235294119</v>
      </c>
      <c r="R12" s="467">
        <f>$D12/Assumptions!$C$6</f>
        <v>1.0064338235294119</v>
      </c>
      <c r="S12" s="467">
        <f>$D12/Assumptions!$C$6</f>
        <v>1.0064338235294119</v>
      </c>
      <c r="T12" s="467">
        <f>$D12/Assumptions!$C$6</f>
        <v>1.0064338235294119</v>
      </c>
      <c r="U12" s="467">
        <f>$D12/Assumptions!$C$6</f>
        <v>1.0064338235294119</v>
      </c>
      <c r="V12" s="467">
        <f>$D12/Assumptions!$C$6</f>
        <v>1.0064338235294119</v>
      </c>
      <c r="W12" s="467">
        <f>$D12/Assumptions!$C$6</f>
        <v>1.0064338235294119</v>
      </c>
      <c r="X12" s="467">
        <f>$D12/Assumptions!$C$6</f>
        <v>1.0064338235294119</v>
      </c>
      <c r="Y12" s="467">
        <f>$D12/Assumptions!$C$6</f>
        <v>1.0064338235294119</v>
      </c>
      <c r="Z12" s="467">
        <f>$D12/Assumptions!$C$6</f>
        <v>1.0064338235294119</v>
      </c>
      <c r="AA12" s="467">
        <f>$D12/Assumptions!$C$6</f>
        <v>1.0064338235294119</v>
      </c>
      <c r="AB12" s="467">
        <f>$D12/Assumptions!$C$6</f>
        <v>1.0064338235294119</v>
      </c>
      <c r="AC12" s="467">
        <f>$D12/Assumptions!$C$6</f>
        <v>1.0064338235294119</v>
      </c>
      <c r="AD12" s="467">
        <f>$D12/Assumptions!$C$6</f>
        <v>1.0064338235294119</v>
      </c>
      <c r="AE12" s="467">
        <f>$D12/Assumptions!$C$6</f>
        <v>1.0064338235294119</v>
      </c>
      <c r="AF12" s="467">
        <f>$D12/Assumptions!$C$6</f>
        <v>1.0064338235294119</v>
      </c>
      <c r="AG12" s="467">
        <f>$D12/Assumptions!$C$6</f>
        <v>1.0064338235294119</v>
      </c>
      <c r="AH12" s="467">
        <f>$D12/Assumptions!$C$6</f>
        <v>1.0064338235294119</v>
      </c>
      <c r="AI12" s="467">
        <f>$D12/Assumptions!$C$6</f>
        <v>1.0064338235294119</v>
      </c>
      <c r="AJ12" s="467">
        <f>$D12/Assumptions!$C$6</f>
        <v>1.0064338235294119</v>
      </c>
      <c r="AK12" s="467">
        <f>$D12/Assumptions!$C$6</f>
        <v>1.0064338235294119</v>
      </c>
      <c r="AL12" s="467">
        <f>$D12/Assumptions!$C$6</f>
        <v>1.0064338235294119</v>
      </c>
      <c r="AM12" s="467">
        <f>$D12/Assumptions!$C$6</f>
        <v>1.0064338235294119</v>
      </c>
      <c r="AN12" s="467">
        <f>$D12/Assumptions!$C$6</f>
        <v>1.0064338235294119</v>
      </c>
      <c r="AO12" s="439"/>
      <c r="AP12" s="439"/>
      <c r="AQ12" s="439"/>
      <c r="AR12" s="439"/>
    </row>
    <row r="13" spans="1:44" ht="15">
      <c r="A13" s="59"/>
      <c r="B13" s="105" t="s">
        <v>374</v>
      </c>
      <c r="C13" s="577">
        <f>+'Historicals &amp; Projections'!C11/'Historicals &amp; Projections'!C40</f>
        <v>0.01</v>
      </c>
      <c r="D13" s="577">
        <f>+'Historicals &amp; Projections'!D11/'Historicals &amp; Projections'!D40</f>
        <v>1.3636363636363636E-2</v>
      </c>
      <c r="E13" s="468">
        <f>+$D13/Assumptions!$C$6</f>
        <v>1.1363636363636363E-3</v>
      </c>
      <c r="F13" s="468">
        <f>+$D13/Assumptions!$C$6</f>
        <v>1.1363636363636363E-3</v>
      </c>
      <c r="G13" s="468">
        <f>+$D13/Assumptions!$C$6</f>
        <v>1.1363636363636363E-3</v>
      </c>
      <c r="H13" s="468">
        <f>+$D13/Assumptions!$C$6</f>
        <v>1.1363636363636363E-3</v>
      </c>
      <c r="I13" s="468">
        <f>+$D13/Assumptions!$C$6</f>
        <v>1.1363636363636363E-3</v>
      </c>
      <c r="J13" s="468">
        <f>+$D13/Assumptions!$C$6</f>
        <v>1.1363636363636363E-3</v>
      </c>
      <c r="K13" s="468">
        <f>+$D13/Assumptions!$C$6</f>
        <v>1.1363636363636363E-3</v>
      </c>
      <c r="L13" s="468">
        <f>+$D13/Assumptions!$C$6</f>
        <v>1.1363636363636363E-3</v>
      </c>
      <c r="M13" s="468">
        <f>+$D13/Assumptions!$C$6</f>
        <v>1.1363636363636363E-3</v>
      </c>
      <c r="N13" s="468">
        <f>+$D13/Assumptions!$C$6</f>
        <v>1.1363636363636363E-3</v>
      </c>
      <c r="O13" s="468">
        <f>+$D13/Assumptions!$C$6</f>
        <v>1.1363636363636363E-3</v>
      </c>
      <c r="P13" s="468">
        <f>+$D13/Assumptions!$C$6</f>
        <v>1.1363636363636363E-3</v>
      </c>
      <c r="Q13" s="468">
        <f>+$D13/Assumptions!$C$6</f>
        <v>1.1363636363636363E-3</v>
      </c>
      <c r="R13" s="468">
        <f>+$D13/Assumptions!$C$6</f>
        <v>1.1363636363636363E-3</v>
      </c>
      <c r="S13" s="468">
        <f>+$D13/Assumptions!$C$6</f>
        <v>1.1363636363636363E-3</v>
      </c>
      <c r="T13" s="468">
        <f>+$D13/Assumptions!$C$6</f>
        <v>1.1363636363636363E-3</v>
      </c>
      <c r="U13" s="468">
        <f>+$D13/Assumptions!$C$6</f>
        <v>1.1363636363636363E-3</v>
      </c>
      <c r="V13" s="468">
        <f>+$D13/Assumptions!$C$6</f>
        <v>1.1363636363636363E-3</v>
      </c>
      <c r="W13" s="468">
        <f>+$D13/Assumptions!$C$6</f>
        <v>1.1363636363636363E-3</v>
      </c>
      <c r="X13" s="468">
        <f>+$D13/Assumptions!$C$6</f>
        <v>1.1363636363636363E-3</v>
      </c>
      <c r="Y13" s="468">
        <f>+$D13/Assumptions!$C$6</f>
        <v>1.1363636363636363E-3</v>
      </c>
      <c r="Z13" s="468">
        <f>+$D13/Assumptions!$C$6</f>
        <v>1.1363636363636363E-3</v>
      </c>
      <c r="AA13" s="468">
        <f>+$D13/Assumptions!$C$6</f>
        <v>1.1363636363636363E-3</v>
      </c>
      <c r="AB13" s="468">
        <f>+$D13/Assumptions!$C$6</f>
        <v>1.1363636363636363E-3</v>
      </c>
      <c r="AC13" s="468">
        <f>+$D13/Assumptions!$C$6</f>
        <v>1.1363636363636363E-3</v>
      </c>
      <c r="AD13" s="468">
        <f>+$D13/Assumptions!$C$6</f>
        <v>1.1363636363636363E-3</v>
      </c>
      <c r="AE13" s="468">
        <f>+$D13/Assumptions!$C$6</f>
        <v>1.1363636363636363E-3</v>
      </c>
      <c r="AF13" s="468">
        <f>+$D13/Assumptions!$C$6</f>
        <v>1.1363636363636363E-3</v>
      </c>
      <c r="AG13" s="468">
        <f>+$D13/Assumptions!$C$6</f>
        <v>1.1363636363636363E-3</v>
      </c>
      <c r="AH13" s="468">
        <f>+$D13/Assumptions!$C$6</f>
        <v>1.1363636363636363E-3</v>
      </c>
      <c r="AI13" s="468">
        <f>+$D13/Assumptions!$C$6</f>
        <v>1.1363636363636363E-3</v>
      </c>
      <c r="AJ13" s="468">
        <f>+$D13/Assumptions!$C$6</f>
        <v>1.1363636363636363E-3</v>
      </c>
      <c r="AK13" s="468">
        <f>+$D13/Assumptions!$C$6</f>
        <v>1.1363636363636363E-3</v>
      </c>
      <c r="AL13" s="468">
        <f>+$D13/Assumptions!$C$6</f>
        <v>1.1363636363636363E-3</v>
      </c>
      <c r="AM13" s="468">
        <f>+$D13/Assumptions!$C$6</f>
        <v>1.1363636363636363E-3</v>
      </c>
      <c r="AN13" s="468">
        <f>+$D13/Assumptions!$C$6</f>
        <v>1.1363636363636363E-3</v>
      </c>
      <c r="AO13" s="440"/>
      <c r="AP13" s="440"/>
      <c r="AQ13" s="440"/>
      <c r="AR13" s="440"/>
    </row>
    <row r="14" spans="1:44" ht="15">
      <c r="A14" s="59"/>
      <c r="B14" s="105" t="s">
        <v>375</v>
      </c>
      <c r="C14" s="577">
        <f>+'Historicals &amp; Projections'!C23/'Historicals &amp; Projections'!C40</f>
        <v>1.2500000000000001E-2</v>
      </c>
      <c r="D14" s="577">
        <f>+'Historicals &amp; Projections'!D23/'Historicals &amp; Projections'!D40</f>
        <v>1.3636363636363636E-2</v>
      </c>
      <c r="E14" s="468">
        <f>+$D14/Assumptions!$C$6</f>
        <v>1.1363636363636363E-3</v>
      </c>
      <c r="F14" s="468">
        <f>+$D14/Assumptions!$C$6</f>
        <v>1.1363636363636363E-3</v>
      </c>
      <c r="G14" s="468">
        <f>+$D14/Assumptions!$C$6</f>
        <v>1.1363636363636363E-3</v>
      </c>
      <c r="H14" s="468">
        <f>+$D14/Assumptions!$C$6</f>
        <v>1.1363636363636363E-3</v>
      </c>
      <c r="I14" s="468">
        <f>+$D14/Assumptions!$C$6</f>
        <v>1.1363636363636363E-3</v>
      </c>
      <c r="J14" s="468">
        <f>+$D14/Assumptions!$C$6</f>
        <v>1.1363636363636363E-3</v>
      </c>
      <c r="K14" s="468">
        <f>+$D14/Assumptions!$C$6</f>
        <v>1.1363636363636363E-3</v>
      </c>
      <c r="L14" s="468">
        <f>+$D14/Assumptions!$C$6</f>
        <v>1.1363636363636363E-3</v>
      </c>
      <c r="M14" s="468">
        <f>+$D14/Assumptions!$C$6</f>
        <v>1.1363636363636363E-3</v>
      </c>
      <c r="N14" s="468">
        <f>+$D14/Assumptions!$C$6</f>
        <v>1.1363636363636363E-3</v>
      </c>
      <c r="O14" s="468">
        <f>+$D14/Assumptions!$C$6</f>
        <v>1.1363636363636363E-3</v>
      </c>
      <c r="P14" s="468">
        <f>+$D14/Assumptions!$C$6</f>
        <v>1.1363636363636363E-3</v>
      </c>
      <c r="Q14" s="468">
        <f>+$D14/Assumptions!$C$6</f>
        <v>1.1363636363636363E-3</v>
      </c>
      <c r="R14" s="468">
        <f>+$D14/Assumptions!$C$6</f>
        <v>1.1363636363636363E-3</v>
      </c>
      <c r="S14" s="468">
        <f>+$D14/Assumptions!$C$6</f>
        <v>1.1363636363636363E-3</v>
      </c>
      <c r="T14" s="468">
        <f>+$D14/Assumptions!$C$6</f>
        <v>1.1363636363636363E-3</v>
      </c>
      <c r="U14" s="468">
        <f>+$D14/Assumptions!$C$6</f>
        <v>1.1363636363636363E-3</v>
      </c>
      <c r="V14" s="468">
        <f>+$D14/Assumptions!$C$6</f>
        <v>1.1363636363636363E-3</v>
      </c>
      <c r="W14" s="468">
        <f>+$D14/Assumptions!$C$6</f>
        <v>1.1363636363636363E-3</v>
      </c>
      <c r="X14" s="468">
        <f>+$D14/Assumptions!$C$6</f>
        <v>1.1363636363636363E-3</v>
      </c>
      <c r="Y14" s="468">
        <f>+$D14/Assumptions!$C$6</f>
        <v>1.1363636363636363E-3</v>
      </c>
      <c r="Z14" s="468">
        <f>+$D14/Assumptions!$C$6</f>
        <v>1.1363636363636363E-3</v>
      </c>
      <c r="AA14" s="468">
        <f>+$D14/Assumptions!$C$6</f>
        <v>1.1363636363636363E-3</v>
      </c>
      <c r="AB14" s="468">
        <f>+$D14/Assumptions!$C$6</f>
        <v>1.1363636363636363E-3</v>
      </c>
      <c r="AC14" s="468">
        <f>+$D14/Assumptions!$C$6</f>
        <v>1.1363636363636363E-3</v>
      </c>
      <c r="AD14" s="468">
        <f>+$D14/Assumptions!$C$6</f>
        <v>1.1363636363636363E-3</v>
      </c>
      <c r="AE14" s="468">
        <f>+$D14/Assumptions!$C$6</f>
        <v>1.1363636363636363E-3</v>
      </c>
      <c r="AF14" s="468">
        <f>+$D14/Assumptions!$C$6</f>
        <v>1.1363636363636363E-3</v>
      </c>
      <c r="AG14" s="468">
        <f>+$D14/Assumptions!$C$6</f>
        <v>1.1363636363636363E-3</v>
      </c>
      <c r="AH14" s="468">
        <f>+$D14/Assumptions!$C$6</f>
        <v>1.1363636363636363E-3</v>
      </c>
      <c r="AI14" s="468">
        <f>+$D14/Assumptions!$C$6</f>
        <v>1.1363636363636363E-3</v>
      </c>
      <c r="AJ14" s="468">
        <f>+$D14/Assumptions!$C$6</f>
        <v>1.1363636363636363E-3</v>
      </c>
      <c r="AK14" s="468">
        <f>+$D14/Assumptions!$C$6</f>
        <v>1.1363636363636363E-3</v>
      </c>
      <c r="AL14" s="468">
        <f>+$D14/Assumptions!$C$6</f>
        <v>1.1363636363636363E-3</v>
      </c>
      <c r="AM14" s="468">
        <f>+$D14/Assumptions!$C$6</f>
        <v>1.1363636363636363E-3</v>
      </c>
      <c r="AN14" s="468">
        <f>+$D14/Assumptions!$C$6</f>
        <v>1.1363636363636363E-3</v>
      </c>
      <c r="AO14" s="440"/>
      <c r="AP14" s="440"/>
      <c r="AQ14" s="440"/>
      <c r="AR14" s="440"/>
    </row>
    <row r="15" spans="1:44" ht="15">
      <c r="A15" s="59"/>
      <c r="B15" s="105"/>
      <c r="C15" s="106"/>
      <c r="D15" s="106"/>
      <c r="E15" s="62"/>
      <c r="F15" s="62"/>
      <c r="G15" s="62"/>
      <c r="H15" s="62"/>
      <c r="I15" s="62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</row>
    <row r="16" spans="1:44" ht="15">
      <c r="A16" s="59"/>
      <c r="B16" s="105"/>
      <c r="C16" s="106"/>
      <c r="D16" s="106"/>
      <c r="E16" s="62"/>
      <c r="F16" s="62"/>
      <c r="G16" s="62"/>
      <c r="H16" s="62"/>
      <c r="I16" s="62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</row>
    <row r="17" spans="1:44" ht="15">
      <c r="A17" s="59"/>
      <c r="B17" s="105" t="s">
        <v>373</v>
      </c>
      <c r="C17" s="576">
        <f>+'Historicals &amp; Projections'!C40</f>
        <v>10000</v>
      </c>
      <c r="D17" s="576">
        <f>+'Historicals &amp; Projections'!D40</f>
        <v>11000</v>
      </c>
      <c r="E17" s="469">
        <f>+'Revenue &amp; COGS Building'!O67</f>
        <v>24166.666666666668</v>
      </c>
      <c r="F17" s="469">
        <f>+'Revenue &amp; COGS Building'!P67</f>
        <v>32391.666666666668</v>
      </c>
      <c r="G17" s="469">
        <f>+'Revenue &amp; COGS Building'!Q67</f>
        <v>40616.666666666664</v>
      </c>
      <c r="H17" s="469">
        <f>+'Revenue &amp; COGS Building'!R67</f>
        <v>48841.666666666664</v>
      </c>
      <c r="I17" s="469">
        <f>+'Revenue &amp; COGS Building'!S67</f>
        <v>57066.666666666664</v>
      </c>
      <c r="J17" s="469">
        <f>+'Revenue &amp; COGS Building'!T67</f>
        <v>65283.333333333336</v>
      </c>
      <c r="K17" s="469">
        <f>+'Revenue &amp; COGS Building'!U67</f>
        <v>73500</v>
      </c>
      <c r="L17" s="469">
        <f>+'Revenue &amp; COGS Building'!V67</f>
        <v>81716.666666666672</v>
      </c>
      <c r="M17" s="469">
        <f>+'Revenue &amp; COGS Building'!W67</f>
        <v>89933.333333333328</v>
      </c>
      <c r="N17" s="469">
        <f>+'Revenue &amp; COGS Building'!X67</f>
        <v>98150</v>
      </c>
      <c r="O17" s="469">
        <f>+'Revenue &amp; COGS Building'!Y67</f>
        <v>106366.66666666667</v>
      </c>
      <c r="P17" s="469">
        <f>+'Revenue &amp; COGS Building'!Z67</f>
        <v>114583.33333333333</v>
      </c>
      <c r="Q17" s="469">
        <f>+'Revenue &amp; COGS Building'!AA67</f>
        <v>195700</v>
      </c>
      <c r="R17" s="469">
        <f>+'Revenue &amp; COGS Building'!AB67</f>
        <v>212550</v>
      </c>
      <c r="S17" s="469">
        <f>+'Revenue &amp; COGS Building'!AC67</f>
        <v>229400</v>
      </c>
      <c r="T17" s="469">
        <f>+'Revenue &amp; COGS Building'!AD67</f>
        <v>246250</v>
      </c>
      <c r="U17" s="469">
        <f>+'Revenue &amp; COGS Building'!AE67</f>
        <v>261600</v>
      </c>
      <c r="V17" s="469">
        <f>+'Revenue &amp; COGS Building'!AF67</f>
        <v>276350</v>
      </c>
      <c r="W17" s="469">
        <f>+'Revenue &amp; COGS Building'!AG67</f>
        <v>291100</v>
      </c>
      <c r="X17" s="469">
        <f>+'Revenue &amp; COGS Building'!AH67</f>
        <v>305850</v>
      </c>
      <c r="Y17" s="469">
        <f>+'Revenue &amp; COGS Building'!AI67</f>
        <v>320591.66666666669</v>
      </c>
      <c r="Z17" s="469">
        <f>+'Revenue &amp; COGS Building'!AJ67</f>
        <v>335333.33333333331</v>
      </c>
      <c r="AA17" s="469">
        <f>+'Revenue &amp; COGS Building'!AK67</f>
        <v>350075</v>
      </c>
      <c r="AB17" s="469">
        <f>+'Revenue &amp; COGS Building'!AL67</f>
        <v>364816.66666666669</v>
      </c>
      <c r="AC17" s="469">
        <f>+'Revenue &amp; COGS Building'!AM67</f>
        <v>411358.33333333331</v>
      </c>
      <c r="AD17" s="469">
        <f>+'Revenue &amp; COGS Building'!AN67</f>
        <v>430625</v>
      </c>
      <c r="AE17" s="469">
        <f>+'Revenue &amp; COGS Building'!AO67</f>
        <v>449891.66666666669</v>
      </c>
      <c r="AF17" s="469">
        <f>+'Revenue &amp; COGS Building'!AP67</f>
        <v>469158.33333333331</v>
      </c>
      <c r="AG17" s="469">
        <f>+'Revenue &amp; COGS Building'!AQ67</f>
        <v>488425</v>
      </c>
      <c r="AH17" s="469">
        <f>+'Revenue &amp; COGS Building'!AR67</f>
        <v>507691.66666666669</v>
      </c>
      <c r="AI17" s="469">
        <f>+'Revenue &amp; COGS Building'!AS67</f>
        <v>526950</v>
      </c>
      <c r="AJ17" s="469">
        <f>+'Revenue &amp; COGS Building'!AT67</f>
        <v>546208.33333333337</v>
      </c>
      <c r="AK17" s="469">
        <f>+'Revenue &amp; COGS Building'!AU67</f>
        <v>565466.66666666663</v>
      </c>
      <c r="AL17" s="469">
        <f>+'Revenue &amp; COGS Building'!AV67</f>
        <v>584725</v>
      </c>
      <c r="AM17" s="469">
        <f>+'Revenue &amp; COGS Building'!AW67</f>
        <v>603983.33333333337</v>
      </c>
      <c r="AN17" s="469">
        <f>+'Revenue &amp; COGS Building'!AX67</f>
        <v>623241.66666666663</v>
      </c>
      <c r="AO17" s="108"/>
      <c r="AP17" s="108"/>
      <c r="AQ17" s="108"/>
      <c r="AR17" s="108"/>
    </row>
    <row r="18" spans="1:44" ht="15">
      <c r="A18" s="59"/>
      <c r="B18" s="105" t="s">
        <v>250</v>
      </c>
      <c r="C18" s="576">
        <f>+'Historicals &amp; Projections'!C43</f>
        <v>6200</v>
      </c>
      <c r="D18" s="576">
        <f>+'Historicals &amp; Projections'!D41</f>
        <v>6600</v>
      </c>
      <c r="E18" s="469">
        <f>+'Revenue &amp; COGS Building'!O103</f>
        <v>16404.583333333332</v>
      </c>
      <c r="F18" s="469">
        <f>+'Revenue &amp; COGS Building'!P103</f>
        <v>22136.395833333332</v>
      </c>
      <c r="G18" s="469">
        <f>+'Revenue &amp; COGS Building'!Q103</f>
        <v>27868.208333333336</v>
      </c>
      <c r="H18" s="469">
        <f>+'Revenue &amp; COGS Building'!R103</f>
        <v>33600.020833333336</v>
      </c>
      <c r="I18" s="469">
        <f>+'Revenue &amp; COGS Building'!S103</f>
        <v>39331.833333333343</v>
      </c>
      <c r="J18" s="469">
        <f>+'Revenue &amp; COGS Building'!T103</f>
        <v>45057.541666666664</v>
      </c>
      <c r="K18" s="469">
        <f>+'Revenue &amp; COGS Building'!U103</f>
        <v>50783.25</v>
      </c>
      <c r="L18" s="469">
        <f>+'Revenue &amp; COGS Building'!V103</f>
        <v>56508.958333333343</v>
      </c>
      <c r="M18" s="469">
        <f>+'Revenue &amp; COGS Building'!W103</f>
        <v>62234.666666666672</v>
      </c>
      <c r="N18" s="469">
        <f>+'Revenue &amp; COGS Building'!X103</f>
        <v>67960.375</v>
      </c>
      <c r="O18" s="469">
        <f>+'Revenue &amp; COGS Building'!Y103</f>
        <v>73686.083333333328</v>
      </c>
      <c r="P18" s="469">
        <f>+'Revenue &amp; COGS Building'!Z103</f>
        <v>79411.791666666686</v>
      </c>
      <c r="Q18" s="469">
        <f>+'Revenue &amp; COGS Building'!AA103</f>
        <v>133288.25</v>
      </c>
      <c r="R18" s="469">
        <f>+'Revenue &amp; COGS Building'!AB103</f>
        <v>145191.375</v>
      </c>
      <c r="S18" s="469">
        <f>+'Revenue &amp; COGS Building'!AC103</f>
        <v>157094.5</v>
      </c>
      <c r="T18" s="469">
        <f>+'Revenue &amp; COGS Building'!AD103</f>
        <v>168997.625</v>
      </c>
      <c r="U18" s="469">
        <f>+'Revenue &amp; COGS Building'!AE103</f>
        <v>179802</v>
      </c>
      <c r="V18" s="469">
        <f>+'Revenue &amp; COGS Building'!AF103</f>
        <v>190313.375</v>
      </c>
      <c r="W18" s="469">
        <f>+'Revenue &amp; COGS Building'!AG103</f>
        <v>200824.75</v>
      </c>
      <c r="X18" s="469">
        <f>+'Revenue &amp; COGS Building'!AH103</f>
        <v>211336.125</v>
      </c>
      <c r="Y18" s="469">
        <f>+'Revenue &amp; COGS Building'!AI103</f>
        <v>221841.39583333337</v>
      </c>
      <c r="Z18" s="469">
        <f>+'Revenue &amp; COGS Building'!AJ103</f>
        <v>232346.66666666669</v>
      </c>
      <c r="AA18" s="469">
        <f>+'Revenue &amp; COGS Building'!AK103</f>
        <v>242851.9375</v>
      </c>
      <c r="AB18" s="469">
        <f>+'Revenue &amp; COGS Building'!AL103</f>
        <v>253357.20833333331</v>
      </c>
      <c r="AC18" s="469">
        <f>+'Revenue &amp; COGS Building'!AM103</f>
        <v>279916.47916666669</v>
      </c>
      <c r="AD18" s="469">
        <f>+'Revenue &amp; COGS Building'!AN103</f>
        <v>293370.0625</v>
      </c>
      <c r="AE18" s="469">
        <f>+'Revenue &amp; COGS Building'!AO103</f>
        <v>306823.64583333331</v>
      </c>
      <c r="AF18" s="469">
        <f>+'Revenue &amp; COGS Building'!AP103</f>
        <v>320277.22916666674</v>
      </c>
      <c r="AG18" s="469">
        <f>+'Revenue &amp; COGS Building'!AQ103</f>
        <v>333730.8125</v>
      </c>
      <c r="AH18" s="469">
        <f>+'Revenue &amp; COGS Building'!AR103</f>
        <v>347184.39583333331</v>
      </c>
      <c r="AI18" s="469">
        <f>+'Revenue &amp; COGS Building'!AS103</f>
        <v>360631.875</v>
      </c>
      <c r="AJ18" s="469">
        <f>+'Revenue &amp; COGS Building'!AT103</f>
        <v>374079.35416666674</v>
      </c>
      <c r="AK18" s="469">
        <f>+'Revenue &amp; COGS Building'!AU103</f>
        <v>387526.83333333331</v>
      </c>
      <c r="AL18" s="469">
        <f>+'Revenue &amp; COGS Building'!AV103</f>
        <v>400974.3125</v>
      </c>
      <c r="AM18" s="469">
        <f>+'Revenue &amp; COGS Building'!AW103</f>
        <v>414421.79166666674</v>
      </c>
      <c r="AN18" s="469">
        <f>+'Revenue &amp; COGS Building'!AX103</f>
        <v>427869.27083333337</v>
      </c>
      <c r="AO18" s="108"/>
      <c r="AP18" s="108"/>
      <c r="AQ18" s="108"/>
      <c r="AR18" s="108"/>
    </row>
    <row r="19" spans="1:44" ht="15">
      <c r="A19" s="59"/>
      <c r="B19" s="105" t="s">
        <v>90</v>
      </c>
      <c r="C19" s="576">
        <f>+'Historicals &amp; Projections'!C43</f>
        <v>6200</v>
      </c>
      <c r="D19" s="576">
        <f>+'Historicals &amp; Projections'!D42</f>
        <v>200</v>
      </c>
      <c r="E19" s="469">
        <f>+'Revenue &amp; COGS Building'!O103</f>
        <v>16404.583333333332</v>
      </c>
      <c r="F19" s="469">
        <f>+'Revenue &amp; COGS Building'!P103</f>
        <v>22136.395833333332</v>
      </c>
      <c r="G19" s="469">
        <f>+'Revenue &amp; COGS Building'!Q103</f>
        <v>27868.208333333336</v>
      </c>
      <c r="H19" s="469">
        <f>+'Revenue &amp; COGS Building'!R103</f>
        <v>33600.020833333336</v>
      </c>
      <c r="I19" s="469">
        <f>+'Revenue &amp; COGS Building'!S103</f>
        <v>39331.833333333343</v>
      </c>
      <c r="J19" s="469">
        <f>+'Revenue &amp; COGS Building'!T103</f>
        <v>45057.541666666664</v>
      </c>
      <c r="K19" s="469">
        <f>+'Revenue &amp; COGS Building'!U103</f>
        <v>50783.25</v>
      </c>
      <c r="L19" s="469">
        <f>+'Revenue &amp; COGS Building'!V103</f>
        <v>56508.958333333343</v>
      </c>
      <c r="M19" s="469">
        <f>+'Revenue &amp; COGS Building'!W103</f>
        <v>62234.666666666672</v>
      </c>
      <c r="N19" s="469">
        <f>+'Revenue &amp; COGS Building'!X103</f>
        <v>67960.375</v>
      </c>
      <c r="O19" s="469">
        <f>+'Revenue &amp; COGS Building'!Y103</f>
        <v>73686.083333333328</v>
      </c>
      <c r="P19" s="469">
        <f>+'Revenue &amp; COGS Building'!Z103</f>
        <v>79411.791666666686</v>
      </c>
      <c r="Q19" s="469">
        <f>+'Revenue &amp; COGS Building'!AA103</f>
        <v>133288.25</v>
      </c>
      <c r="R19" s="469">
        <f>+'Revenue &amp; COGS Building'!AB103</f>
        <v>145191.375</v>
      </c>
      <c r="S19" s="469">
        <f>+'Revenue &amp; COGS Building'!AC103</f>
        <v>157094.5</v>
      </c>
      <c r="T19" s="469">
        <f>+'Revenue &amp; COGS Building'!AD103</f>
        <v>168997.625</v>
      </c>
      <c r="U19" s="469">
        <f>+'Revenue &amp; COGS Building'!AE103</f>
        <v>179802</v>
      </c>
      <c r="V19" s="469">
        <f>+'Revenue &amp; COGS Building'!AF103</f>
        <v>190313.375</v>
      </c>
      <c r="W19" s="469">
        <f>+'Revenue &amp; COGS Building'!AG103</f>
        <v>200824.75</v>
      </c>
      <c r="X19" s="469">
        <f>+'Revenue &amp; COGS Building'!AH103</f>
        <v>211336.125</v>
      </c>
      <c r="Y19" s="469">
        <f>+'Revenue &amp; COGS Building'!AI103</f>
        <v>221841.39583333337</v>
      </c>
      <c r="Z19" s="469">
        <f>+'Revenue &amp; COGS Building'!AJ103</f>
        <v>232346.66666666669</v>
      </c>
      <c r="AA19" s="469">
        <f>+'Revenue &amp; COGS Building'!AK103</f>
        <v>242851.9375</v>
      </c>
      <c r="AB19" s="469">
        <f>+'Revenue &amp; COGS Building'!AL103</f>
        <v>253357.20833333331</v>
      </c>
      <c r="AC19" s="469">
        <f>+'Revenue &amp; COGS Building'!AM103</f>
        <v>279916.47916666669</v>
      </c>
      <c r="AD19" s="469">
        <f>+'Revenue &amp; COGS Building'!AN103</f>
        <v>293370.0625</v>
      </c>
      <c r="AE19" s="469">
        <f>+'Revenue &amp; COGS Building'!AO103</f>
        <v>306823.64583333331</v>
      </c>
      <c r="AF19" s="469">
        <f>+'Revenue &amp; COGS Building'!AP103</f>
        <v>320277.22916666674</v>
      </c>
      <c r="AG19" s="469">
        <f>+'Revenue &amp; COGS Building'!AQ103</f>
        <v>333730.8125</v>
      </c>
      <c r="AH19" s="469">
        <f>+'Revenue &amp; COGS Building'!AR103</f>
        <v>347184.39583333331</v>
      </c>
      <c r="AI19" s="469">
        <f>+'Revenue &amp; COGS Building'!AS103</f>
        <v>360631.875</v>
      </c>
      <c r="AJ19" s="469">
        <f>+'Revenue &amp; COGS Building'!AT103</f>
        <v>374079.35416666674</v>
      </c>
      <c r="AK19" s="469">
        <f>+'Revenue &amp; COGS Building'!AU103</f>
        <v>387526.83333333331</v>
      </c>
      <c r="AL19" s="469">
        <f>+'Revenue &amp; COGS Building'!AV103</f>
        <v>400974.3125</v>
      </c>
      <c r="AM19" s="469">
        <f>+'Revenue &amp; COGS Building'!AW103</f>
        <v>414421.79166666674</v>
      </c>
      <c r="AN19" s="469">
        <f>+'Revenue &amp; COGS Building'!AX103</f>
        <v>427869.27083333337</v>
      </c>
      <c r="AO19" s="108"/>
      <c r="AP19" s="108"/>
      <c r="AQ19" s="108"/>
      <c r="AR19" s="108"/>
    </row>
    <row r="20" spans="1:44" ht="15">
      <c r="A20" s="59"/>
      <c r="B20" s="105"/>
      <c r="C20" s="107"/>
      <c r="D20" s="107"/>
      <c r="E20" s="108"/>
      <c r="F20" s="108"/>
      <c r="G20" s="108"/>
      <c r="H20" s="108"/>
      <c r="I20" s="10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</row>
    <row r="21" spans="1:44" ht="15">
      <c r="A21" s="59"/>
      <c r="B21" s="105"/>
      <c r="C21" s="106"/>
      <c r="D21" s="106"/>
      <c r="E21" s="62"/>
      <c r="F21" s="120"/>
      <c r="G21" s="62"/>
      <c r="H21" s="62"/>
      <c r="I21" s="62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</row>
    <row r="22" spans="1:44" ht="15">
      <c r="A22" s="59"/>
      <c r="B22" s="105" t="s">
        <v>91</v>
      </c>
      <c r="C22" s="466">
        <f>+'Historicals &amp; Projections'!C9</f>
        <v>450</v>
      </c>
      <c r="D22" s="466">
        <f>+'Historicals &amp; Projections'!D9</f>
        <v>500</v>
      </c>
      <c r="E22" s="469">
        <f>+E17/(365/E10)</f>
        <v>86.963383838383848</v>
      </c>
      <c r="F22" s="469">
        <f t="shared" ref="F22:P22" si="0">+F17/(365/F10)</f>
        <v>116.56092171717172</v>
      </c>
      <c r="G22" s="469">
        <f t="shared" si="0"/>
        <v>146.15845959595958</v>
      </c>
      <c r="H22" s="469">
        <f t="shared" si="0"/>
        <v>175.75599747474746</v>
      </c>
      <c r="I22" s="469">
        <f t="shared" si="0"/>
        <v>205.35353535353534</v>
      </c>
      <c r="J22" s="469">
        <f t="shared" si="0"/>
        <v>234.92108585858588</v>
      </c>
      <c r="K22" s="469">
        <f t="shared" si="0"/>
        <v>264.48863636363637</v>
      </c>
      <c r="L22" s="469">
        <f t="shared" si="0"/>
        <v>294.05618686868689</v>
      </c>
      <c r="M22" s="469">
        <f t="shared" si="0"/>
        <v>323.62373737373736</v>
      </c>
      <c r="N22" s="469">
        <f t="shared" si="0"/>
        <v>353.19128787878788</v>
      </c>
      <c r="O22" s="469">
        <f t="shared" si="0"/>
        <v>382.75883838383839</v>
      </c>
      <c r="P22" s="469">
        <f t="shared" si="0"/>
        <v>412.32638888888886</v>
      </c>
      <c r="Q22" s="469">
        <f t="shared" ref="Q22:AN22" si="1">+Q17/(365/Q10)</f>
        <v>704.22348484848487</v>
      </c>
      <c r="R22" s="469">
        <f t="shared" si="1"/>
        <v>764.8579545454545</v>
      </c>
      <c r="S22" s="469">
        <f t="shared" si="1"/>
        <v>825.49242424242425</v>
      </c>
      <c r="T22" s="469">
        <f t="shared" si="1"/>
        <v>886.12689393939399</v>
      </c>
      <c r="U22" s="469">
        <f t="shared" si="1"/>
        <v>941.36363636363637</v>
      </c>
      <c r="V22" s="469">
        <f t="shared" si="1"/>
        <v>994.44128787878788</v>
      </c>
      <c r="W22" s="469">
        <f t="shared" si="1"/>
        <v>1047.5189393939395</v>
      </c>
      <c r="X22" s="469">
        <f t="shared" si="1"/>
        <v>1100.596590909091</v>
      </c>
      <c r="Y22" s="469">
        <f t="shared" si="1"/>
        <v>1153.6442550505051</v>
      </c>
      <c r="Z22" s="469">
        <f t="shared" si="1"/>
        <v>1206.6919191919192</v>
      </c>
      <c r="AA22" s="469">
        <f t="shared" si="1"/>
        <v>1259.7395833333333</v>
      </c>
      <c r="AB22" s="469">
        <f t="shared" si="1"/>
        <v>1312.7872474747476</v>
      </c>
      <c r="AC22" s="469">
        <f t="shared" si="1"/>
        <v>1480.2667297979797</v>
      </c>
      <c r="AD22" s="469">
        <f t="shared" si="1"/>
        <v>1549.597537878788</v>
      </c>
      <c r="AE22" s="469">
        <f t="shared" si="1"/>
        <v>1618.9283459595961</v>
      </c>
      <c r="AF22" s="469">
        <f t="shared" si="1"/>
        <v>1688.2591540404039</v>
      </c>
      <c r="AG22" s="469">
        <f t="shared" si="1"/>
        <v>1757.5899621212122</v>
      </c>
      <c r="AH22" s="469">
        <f t="shared" si="1"/>
        <v>1826.9207702020203</v>
      </c>
      <c r="AI22" s="469">
        <f t="shared" si="1"/>
        <v>1896.221590909091</v>
      </c>
      <c r="AJ22" s="469">
        <f t="shared" si="1"/>
        <v>1965.5224116161619</v>
      </c>
      <c r="AK22" s="469">
        <f t="shared" si="1"/>
        <v>2034.8232323232321</v>
      </c>
      <c r="AL22" s="469">
        <f t="shared" si="1"/>
        <v>2104.124053030303</v>
      </c>
      <c r="AM22" s="469">
        <f t="shared" si="1"/>
        <v>2173.4248737373737</v>
      </c>
      <c r="AN22" s="469">
        <f t="shared" si="1"/>
        <v>2242.7256944444443</v>
      </c>
      <c r="AO22" s="108"/>
      <c r="AP22" s="108"/>
      <c r="AQ22" s="108"/>
      <c r="AR22" s="108"/>
    </row>
    <row r="23" spans="1:44" ht="15">
      <c r="A23" s="59"/>
      <c r="B23" s="105" t="s">
        <v>93</v>
      </c>
      <c r="C23" s="466">
        <f>+'Historicals &amp; Projections'!C10</f>
        <v>200</v>
      </c>
      <c r="D23" s="466">
        <f>+'Historicals &amp; Projections'!D10</f>
        <v>300</v>
      </c>
      <c r="E23" s="469">
        <f>+E18/(365/E11)</f>
        <v>50.259140114379086</v>
      </c>
      <c r="F23" s="469">
        <f t="shared" ref="F23:P23" si="2">+F18/(365/F11)</f>
        <v>67.819840175653596</v>
      </c>
      <c r="G23" s="469">
        <f t="shared" si="2"/>
        <v>85.380540236928113</v>
      </c>
      <c r="H23" s="469">
        <f t="shared" si="2"/>
        <v>102.94124029820263</v>
      </c>
      <c r="I23" s="469">
        <f t="shared" si="2"/>
        <v>120.50194035947716</v>
      </c>
      <c r="J23" s="469">
        <f t="shared" si="2"/>
        <v>138.04393892973857</v>
      </c>
      <c r="K23" s="469">
        <f t="shared" si="2"/>
        <v>155.5859375</v>
      </c>
      <c r="L23" s="469">
        <f t="shared" si="2"/>
        <v>173.12793607026148</v>
      </c>
      <c r="M23" s="469">
        <f t="shared" si="2"/>
        <v>190.66993464052291</v>
      </c>
      <c r="N23" s="469">
        <f t="shared" si="2"/>
        <v>208.21193321078434</v>
      </c>
      <c r="O23" s="469">
        <f t="shared" si="2"/>
        <v>225.75393178104576</v>
      </c>
      <c r="P23" s="469">
        <f t="shared" si="2"/>
        <v>243.29593035130728</v>
      </c>
      <c r="Q23" s="469">
        <f t="shared" ref="Q23:AN23" si="3">+Q18/(365/Q11)</f>
        <v>408.35860906862746</v>
      </c>
      <c r="R23" s="469">
        <f t="shared" si="3"/>
        <v>444.82651654411768</v>
      </c>
      <c r="S23" s="469">
        <f t="shared" si="3"/>
        <v>481.2944240196079</v>
      </c>
      <c r="T23" s="469">
        <f t="shared" si="3"/>
        <v>517.76233149509812</v>
      </c>
      <c r="U23" s="469">
        <f t="shared" si="3"/>
        <v>550.86397058823536</v>
      </c>
      <c r="V23" s="469">
        <f t="shared" si="3"/>
        <v>583.06793811274508</v>
      </c>
      <c r="W23" s="469">
        <f t="shared" si="3"/>
        <v>615.27190563725492</v>
      </c>
      <c r="X23" s="469">
        <f t="shared" si="3"/>
        <v>647.47587316176475</v>
      </c>
      <c r="Y23" s="469">
        <f t="shared" si="3"/>
        <v>679.66113919526163</v>
      </c>
      <c r="Z23" s="469">
        <f t="shared" si="3"/>
        <v>711.84640522875827</v>
      </c>
      <c r="AA23" s="469">
        <f t="shared" si="3"/>
        <v>744.03167126225492</v>
      </c>
      <c r="AB23" s="469">
        <f t="shared" si="3"/>
        <v>776.21693729575168</v>
      </c>
      <c r="AC23" s="469">
        <f t="shared" si="3"/>
        <v>857.58725234885628</v>
      </c>
      <c r="AD23" s="469">
        <f t="shared" si="3"/>
        <v>898.80533854166674</v>
      </c>
      <c r="AE23" s="469">
        <f t="shared" si="3"/>
        <v>940.02342473447709</v>
      </c>
      <c r="AF23" s="469">
        <f t="shared" si="3"/>
        <v>981.24151092728789</v>
      </c>
      <c r="AG23" s="469">
        <f t="shared" si="3"/>
        <v>1022.4595971200981</v>
      </c>
      <c r="AH23" s="469">
        <f t="shared" si="3"/>
        <v>1063.6776833129086</v>
      </c>
      <c r="AI23" s="469">
        <f t="shared" si="3"/>
        <v>1104.8770680147059</v>
      </c>
      <c r="AJ23" s="469">
        <f t="shared" si="3"/>
        <v>1146.0764527165036</v>
      </c>
      <c r="AK23" s="469">
        <f t="shared" si="3"/>
        <v>1187.2758374183006</v>
      </c>
      <c r="AL23" s="469">
        <f t="shared" si="3"/>
        <v>1228.4752221200981</v>
      </c>
      <c r="AM23" s="469">
        <f t="shared" si="3"/>
        <v>1269.6746068218958</v>
      </c>
      <c r="AN23" s="469">
        <f t="shared" si="3"/>
        <v>1310.8739915236931</v>
      </c>
      <c r="AO23" s="108"/>
      <c r="AP23" s="108"/>
      <c r="AQ23" s="108"/>
      <c r="AR23" s="108"/>
    </row>
    <row r="24" spans="1:44" ht="15">
      <c r="A24" s="59"/>
      <c r="B24" s="105" t="s">
        <v>92</v>
      </c>
      <c r="C24" s="466">
        <f>+'Historicals &amp; Projections'!C21</f>
        <v>100</v>
      </c>
      <c r="D24" s="466">
        <f>+'Historicals &amp; Projections'!D21</f>
        <v>350</v>
      </c>
      <c r="E24" s="469">
        <f>+E19/(365/E12)</f>
        <v>45.233226102941181</v>
      </c>
      <c r="F24" s="469">
        <f t="shared" ref="F24:P24" si="4">+F19/(365/F12)</f>
        <v>61.037856158088239</v>
      </c>
      <c r="G24" s="469">
        <f t="shared" si="4"/>
        <v>76.842486213235304</v>
      </c>
      <c r="H24" s="469">
        <f t="shared" si="4"/>
        <v>92.647116268382376</v>
      </c>
      <c r="I24" s="469">
        <f t="shared" si="4"/>
        <v>108.45174632352945</v>
      </c>
      <c r="J24" s="469">
        <f t="shared" si="4"/>
        <v>124.23954503676471</v>
      </c>
      <c r="K24" s="469">
        <f t="shared" si="4"/>
        <v>140.02734375000003</v>
      </c>
      <c r="L24" s="469">
        <f t="shared" si="4"/>
        <v>155.81514246323533</v>
      </c>
      <c r="M24" s="469">
        <f t="shared" si="4"/>
        <v>171.60294117647061</v>
      </c>
      <c r="N24" s="469">
        <f t="shared" si="4"/>
        <v>187.39073988970591</v>
      </c>
      <c r="O24" s="469">
        <f t="shared" si="4"/>
        <v>203.17853860294119</v>
      </c>
      <c r="P24" s="469">
        <f t="shared" si="4"/>
        <v>218.96633731617655</v>
      </c>
      <c r="Q24" s="469">
        <f t="shared" ref="Q24:AN24" si="5">+Q19/(365/Q12)</f>
        <v>367.52274816176475</v>
      </c>
      <c r="R24" s="469">
        <f t="shared" si="5"/>
        <v>400.34386488970591</v>
      </c>
      <c r="S24" s="469">
        <f t="shared" si="5"/>
        <v>433.16498161764713</v>
      </c>
      <c r="T24" s="469">
        <f t="shared" si="5"/>
        <v>465.98609834558829</v>
      </c>
      <c r="U24" s="469">
        <f t="shared" si="5"/>
        <v>495.77757352941182</v>
      </c>
      <c r="V24" s="469">
        <f t="shared" si="5"/>
        <v>524.76114430147061</v>
      </c>
      <c r="W24" s="469">
        <f t="shared" si="5"/>
        <v>553.74471507352951</v>
      </c>
      <c r="X24" s="469">
        <f t="shared" si="5"/>
        <v>582.72828584558829</v>
      </c>
      <c r="Y24" s="469">
        <f t="shared" si="5"/>
        <v>611.69502527573547</v>
      </c>
      <c r="Z24" s="469">
        <f t="shared" si="5"/>
        <v>640.66176470588243</v>
      </c>
      <c r="AA24" s="469">
        <f t="shared" si="5"/>
        <v>669.62850413602951</v>
      </c>
      <c r="AB24" s="469">
        <f t="shared" si="5"/>
        <v>698.59524356617646</v>
      </c>
      <c r="AC24" s="469">
        <f t="shared" si="5"/>
        <v>771.82852711397072</v>
      </c>
      <c r="AD24" s="469">
        <f t="shared" si="5"/>
        <v>808.92480468750011</v>
      </c>
      <c r="AE24" s="469">
        <f t="shared" si="5"/>
        <v>846.02108226102939</v>
      </c>
      <c r="AF24" s="469">
        <f t="shared" si="5"/>
        <v>883.11735983455912</v>
      </c>
      <c r="AG24" s="469">
        <f t="shared" si="5"/>
        <v>920.21363740808829</v>
      </c>
      <c r="AH24" s="469">
        <f t="shared" si="5"/>
        <v>957.30991498161768</v>
      </c>
      <c r="AI24" s="469">
        <f t="shared" si="5"/>
        <v>994.38936121323536</v>
      </c>
      <c r="AJ24" s="469">
        <f t="shared" si="5"/>
        <v>1031.4688074448532</v>
      </c>
      <c r="AK24" s="469">
        <f t="shared" si="5"/>
        <v>1068.5482536764707</v>
      </c>
      <c r="AL24" s="469">
        <f t="shared" si="5"/>
        <v>1105.6276999080883</v>
      </c>
      <c r="AM24" s="469">
        <f t="shared" si="5"/>
        <v>1142.7071461397063</v>
      </c>
      <c r="AN24" s="469">
        <f t="shared" si="5"/>
        <v>1179.7865923713236</v>
      </c>
      <c r="AO24" s="108"/>
      <c r="AP24" s="108"/>
      <c r="AQ24" s="108"/>
      <c r="AR24" s="108"/>
    </row>
    <row r="25" spans="1:44" ht="15">
      <c r="A25" s="59"/>
      <c r="B25" s="105" t="s">
        <v>308</v>
      </c>
      <c r="C25" s="466">
        <f>+'Historicals &amp; Projections'!C11</f>
        <v>100</v>
      </c>
      <c r="D25" s="466">
        <f>+'Historicals &amp; Projections'!D11</f>
        <v>150</v>
      </c>
      <c r="E25" s="469">
        <f>+E13*E17</f>
        <v>27.462121212121211</v>
      </c>
      <c r="F25" s="469">
        <f t="shared" ref="F25:P25" si="6">+F13*F17</f>
        <v>36.808712121212118</v>
      </c>
      <c r="G25" s="469">
        <f t="shared" si="6"/>
        <v>46.155303030303024</v>
      </c>
      <c r="H25" s="469">
        <f t="shared" si="6"/>
        <v>55.501893939393931</v>
      </c>
      <c r="I25" s="469">
        <f t="shared" si="6"/>
        <v>64.848484848484844</v>
      </c>
      <c r="J25" s="469">
        <f t="shared" si="6"/>
        <v>74.185606060606062</v>
      </c>
      <c r="K25" s="469">
        <f t="shared" si="6"/>
        <v>83.522727272727266</v>
      </c>
      <c r="L25" s="469">
        <f t="shared" si="6"/>
        <v>92.859848484848484</v>
      </c>
      <c r="M25" s="469">
        <f t="shared" si="6"/>
        <v>102.19696969696969</v>
      </c>
      <c r="N25" s="469">
        <f t="shared" si="6"/>
        <v>111.53409090909091</v>
      </c>
      <c r="O25" s="469">
        <f t="shared" si="6"/>
        <v>120.87121212121212</v>
      </c>
      <c r="P25" s="469">
        <f t="shared" si="6"/>
        <v>130.20833333333331</v>
      </c>
      <c r="Q25" s="469">
        <f t="shared" ref="Q25:AN25" si="7">+Q13*Q17</f>
        <v>222.38636363636363</v>
      </c>
      <c r="R25" s="469">
        <f t="shared" si="7"/>
        <v>241.53409090909091</v>
      </c>
      <c r="S25" s="469">
        <f t="shared" si="7"/>
        <v>260.68181818181819</v>
      </c>
      <c r="T25" s="469">
        <f t="shared" si="7"/>
        <v>279.82954545454544</v>
      </c>
      <c r="U25" s="469">
        <f t="shared" si="7"/>
        <v>297.27272727272725</v>
      </c>
      <c r="V25" s="469">
        <f t="shared" si="7"/>
        <v>314.03409090909088</v>
      </c>
      <c r="W25" s="469">
        <f t="shared" si="7"/>
        <v>330.7954545454545</v>
      </c>
      <c r="X25" s="469">
        <f t="shared" si="7"/>
        <v>347.55681818181819</v>
      </c>
      <c r="Y25" s="469">
        <f t="shared" si="7"/>
        <v>364.30871212121212</v>
      </c>
      <c r="Z25" s="469">
        <f t="shared" si="7"/>
        <v>381.06060606060601</v>
      </c>
      <c r="AA25" s="469">
        <f t="shared" si="7"/>
        <v>397.8125</v>
      </c>
      <c r="AB25" s="469">
        <f t="shared" si="7"/>
        <v>414.56439393939394</v>
      </c>
      <c r="AC25" s="469">
        <f t="shared" si="7"/>
        <v>467.45265151515144</v>
      </c>
      <c r="AD25" s="469">
        <f t="shared" si="7"/>
        <v>489.34659090909088</v>
      </c>
      <c r="AE25" s="469">
        <f t="shared" si="7"/>
        <v>511.24053030303031</v>
      </c>
      <c r="AF25" s="469">
        <f t="shared" si="7"/>
        <v>533.13446969696963</v>
      </c>
      <c r="AG25" s="469">
        <f t="shared" si="7"/>
        <v>555.02840909090901</v>
      </c>
      <c r="AH25" s="469">
        <f t="shared" si="7"/>
        <v>576.9223484848485</v>
      </c>
      <c r="AI25" s="469">
        <f t="shared" si="7"/>
        <v>598.80681818181813</v>
      </c>
      <c r="AJ25" s="469">
        <f t="shared" si="7"/>
        <v>620.69128787878788</v>
      </c>
      <c r="AK25" s="469">
        <f t="shared" si="7"/>
        <v>642.57575757575751</v>
      </c>
      <c r="AL25" s="469">
        <f t="shared" si="7"/>
        <v>664.46022727272725</v>
      </c>
      <c r="AM25" s="469">
        <f t="shared" si="7"/>
        <v>686.344696969697</v>
      </c>
      <c r="AN25" s="469">
        <f t="shared" si="7"/>
        <v>708.22916666666663</v>
      </c>
      <c r="AO25" s="108"/>
      <c r="AP25" s="108"/>
      <c r="AQ25" s="108"/>
      <c r="AR25" s="108"/>
    </row>
    <row r="26" spans="1:44" ht="15">
      <c r="A26" s="59"/>
      <c r="B26" s="105" t="s">
        <v>264</v>
      </c>
      <c r="C26" s="466">
        <f>+'Historicals &amp; Projections'!C23</f>
        <v>125</v>
      </c>
      <c r="D26" s="466">
        <f>+'Historicals &amp; Projections'!D23</f>
        <v>150</v>
      </c>
      <c r="E26" s="469">
        <f t="shared" ref="E26:P26" si="8">+E14*E17</f>
        <v>27.462121212121211</v>
      </c>
      <c r="F26" s="469">
        <f t="shared" si="8"/>
        <v>36.808712121212118</v>
      </c>
      <c r="G26" s="469">
        <f t="shared" si="8"/>
        <v>46.155303030303024</v>
      </c>
      <c r="H26" s="469">
        <f t="shared" si="8"/>
        <v>55.501893939393931</v>
      </c>
      <c r="I26" s="469">
        <f t="shared" si="8"/>
        <v>64.848484848484844</v>
      </c>
      <c r="J26" s="469">
        <f t="shared" si="8"/>
        <v>74.185606060606062</v>
      </c>
      <c r="K26" s="469">
        <f t="shared" si="8"/>
        <v>83.522727272727266</v>
      </c>
      <c r="L26" s="469">
        <f t="shared" si="8"/>
        <v>92.859848484848484</v>
      </c>
      <c r="M26" s="469">
        <f t="shared" si="8"/>
        <v>102.19696969696969</v>
      </c>
      <c r="N26" s="469">
        <f t="shared" si="8"/>
        <v>111.53409090909091</v>
      </c>
      <c r="O26" s="469">
        <f t="shared" si="8"/>
        <v>120.87121212121212</v>
      </c>
      <c r="P26" s="469">
        <f t="shared" si="8"/>
        <v>130.20833333333331</v>
      </c>
      <c r="Q26" s="469">
        <f t="shared" ref="Q26:AN26" si="9">+Q14*Q17</f>
        <v>222.38636363636363</v>
      </c>
      <c r="R26" s="469">
        <f t="shared" si="9"/>
        <v>241.53409090909091</v>
      </c>
      <c r="S26" s="469">
        <f t="shared" si="9"/>
        <v>260.68181818181819</v>
      </c>
      <c r="T26" s="469">
        <f t="shared" si="9"/>
        <v>279.82954545454544</v>
      </c>
      <c r="U26" s="469">
        <f t="shared" si="9"/>
        <v>297.27272727272725</v>
      </c>
      <c r="V26" s="469">
        <f t="shared" si="9"/>
        <v>314.03409090909088</v>
      </c>
      <c r="W26" s="469">
        <f t="shared" si="9"/>
        <v>330.7954545454545</v>
      </c>
      <c r="X26" s="469">
        <f t="shared" si="9"/>
        <v>347.55681818181819</v>
      </c>
      <c r="Y26" s="469">
        <f t="shared" si="9"/>
        <v>364.30871212121212</v>
      </c>
      <c r="Z26" s="469">
        <f t="shared" si="9"/>
        <v>381.06060606060601</v>
      </c>
      <c r="AA26" s="469">
        <f t="shared" si="9"/>
        <v>397.8125</v>
      </c>
      <c r="AB26" s="469">
        <f t="shared" si="9"/>
        <v>414.56439393939394</v>
      </c>
      <c r="AC26" s="469">
        <f t="shared" si="9"/>
        <v>467.45265151515144</v>
      </c>
      <c r="AD26" s="469">
        <f t="shared" si="9"/>
        <v>489.34659090909088</v>
      </c>
      <c r="AE26" s="469">
        <f t="shared" si="9"/>
        <v>511.24053030303031</v>
      </c>
      <c r="AF26" s="469">
        <f t="shared" si="9"/>
        <v>533.13446969696963</v>
      </c>
      <c r="AG26" s="469">
        <f t="shared" si="9"/>
        <v>555.02840909090901</v>
      </c>
      <c r="AH26" s="469">
        <f t="shared" si="9"/>
        <v>576.9223484848485</v>
      </c>
      <c r="AI26" s="469">
        <f t="shared" si="9"/>
        <v>598.80681818181813</v>
      </c>
      <c r="AJ26" s="469">
        <f t="shared" si="9"/>
        <v>620.69128787878788</v>
      </c>
      <c r="AK26" s="469">
        <f t="shared" si="9"/>
        <v>642.57575757575751</v>
      </c>
      <c r="AL26" s="469">
        <f t="shared" si="9"/>
        <v>664.46022727272725</v>
      </c>
      <c r="AM26" s="469">
        <f t="shared" si="9"/>
        <v>686.344696969697</v>
      </c>
      <c r="AN26" s="469">
        <f t="shared" si="9"/>
        <v>708.22916666666663</v>
      </c>
      <c r="AO26" s="108"/>
      <c r="AP26" s="108"/>
      <c r="AQ26" s="108"/>
      <c r="AR26" s="108"/>
    </row>
    <row r="27" spans="1:44" ht="15">
      <c r="A27" s="59"/>
      <c r="B27" s="105"/>
      <c r="C27" s="106"/>
      <c r="D27" s="106"/>
      <c r="E27" s="62"/>
      <c r="F27" s="62"/>
      <c r="G27" s="62"/>
      <c r="H27" s="62"/>
      <c r="I27" s="62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</row>
    <row r="28" spans="1:44" ht="15">
      <c r="A28" s="59"/>
      <c r="B28" s="109" t="s">
        <v>94</v>
      </c>
      <c r="C28" s="470">
        <f>+C22+C23-C24-C26+C25</f>
        <v>525</v>
      </c>
      <c r="D28" s="470">
        <f>+D22+D23-D24-D26+D25</f>
        <v>450</v>
      </c>
      <c r="E28" s="471">
        <f t="shared" ref="E28:P28" si="10">+E22+E23-E24-E26</f>
        <v>64.527176637700535</v>
      </c>
      <c r="F28" s="471">
        <f t="shared" si="10"/>
        <v>86.534193613524963</v>
      </c>
      <c r="G28" s="471">
        <f t="shared" si="10"/>
        <v>108.54121058934936</v>
      </c>
      <c r="H28" s="471">
        <f t="shared" si="10"/>
        <v>130.54822756517376</v>
      </c>
      <c r="I28" s="471">
        <f t="shared" si="10"/>
        <v>152.55524454099819</v>
      </c>
      <c r="J28" s="471">
        <f t="shared" si="10"/>
        <v>174.5398736909537</v>
      </c>
      <c r="K28" s="471">
        <f t="shared" si="10"/>
        <v>196.52450284090912</v>
      </c>
      <c r="L28" s="471">
        <f t="shared" si="10"/>
        <v>218.50913199086449</v>
      </c>
      <c r="M28" s="471">
        <f t="shared" si="10"/>
        <v>240.49376114081991</v>
      </c>
      <c r="N28" s="471">
        <f t="shared" si="10"/>
        <v>262.47839029077534</v>
      </c>
      <c r="O28" s="471">
        <f t="shared" si="10"/>
        <v>284.46301944073082</v>
      </c>
      <c r="P28" s="471">
        <f t="shared" si="10"/>
        <v>306.44764859068624</v>
      </c>
      <c r="Q28" s="471">
        <f t="shared" ref="Q28:AN28" si="11">+Q22+Q23-Q24-Q26</f>
        <v>522.67298211898401</v>
      </c>
      <c r="R28" s="471">
        <f t="shared" si="11"/>
        <v>567.80651529077534</v>
      </c>
      <c r="S28" s="471">
        <f t="shared" si="11"/>
        <v>612.94004846256689</v>
      </c>
      <c r="T28" s="471">
        <f t="shared" si="11"/>
        <v>658.07358163435833</v>
      </c>
      <c r="U28" s="471">
        <f t="shared" si="11"/>
        <v>699.17730614973254</v>
      </c>
      <c r="V28" s="471">
        <f t="shared" si="11"/>
        <v>738.71399078097159</v>
      </c>
      <c r="W28" s="471">
        <f t="shared" si="11"/>
        <v>778.25067541221028</v>
      </c>
      <c r="X28" s="471">
        <f t="shared" si="11"/>
        <v>817.78736004344933</v>
      </c>
      <c r="Y28" s="471">
        <f t="shared" si="11"/>
        <v>857.30165684881911</v>
      </c>
      <c r="Z28" s="471">
        <f t="shared" si="11"/>
        <v>896.81595365418889</v>
      </c>
      <c r="AA28" s="471">
        <f t="shared" si="11"/>
        <v>936.33025045955878</v>
      </c>
      <c r="AB28" s="471">
        <f t="shared" si="11"/>
        <v>975.84454726492868</v>
      </c>
      <c r="AC28" s="471">
        <f t="shared" si="11"/>
        <v>1098.5728035177135</v>
      </c>
      <c r="AD28" s="471">
        <f t="shared" si="11"/>
        <v>1150.131480823864</v>
      </c>
      <c r="AE28" s="471">
        <f t="shared" si="11"/>
        <v>1201.6901581300137</v>
      </c>
      <c r="AF28" s="471">
        <f t="shared" si="11"/>
        <v>1253.2488354361631</v>
      </c>
      <c r="AG28" s="471">
        <f t="shared" si="11"/>
        <v>1304.8075127423131</v>
      </c>
      <c r="AH28" s="471">
        <f t="shared" si="11"/>
        <v>1356.3661900484631</v>
      </c>
      <c r="AI28" s="471">
        <f t="shared" si="11"/>
        <v>1407.9024795287432</v>
      </c>
      <c r="AJ28" s="471">
        <f t="shared" si="11"/>
        <v>1459.4387690090243</v>
      </c>
      <c r="AK28" s="471">
        <f t="shared" si="11"/>
        <v>1510.9750584893045</v>
      </c>
      <c r="AL28" s="471">
        <f t="shared" si="11"/>
        <v>1562.5113479695854</v>
      </c>
      <c r="AM28" s="471">
        <f t="shared" si="11"/>
        <v>1614.0476374498662</v>
      </c>
      <c r="AN28" s="471">
        <f t="shared" si="11"/>
        <v>1665.5839269301473</v>
      </c>
      <c r="AO28" s="380"/>
      <c r="AP28" s="380"/>
      <c r="AQ28" s="380"/>
      <c r="AR28" s="380"/>
    </row>
    <row r="29" spans="1:44" ht="15">
      <c r="A29" s="59"/>
      <c r="B29" s="68"/>
      <c r="C29" s="56"/>
      <c r="D29" s="56"/>
      <c r="E29" s="80"/>
      <c r="F29" s="80"/>
      <c r="G29" s="110"/>
      <c r="H29" s="56"/>
      <c r="I29" s="56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</row>
    <row r="30" spans="1:44" ht="15">
      <c r="A30" s="59"/>
      <c r="B30" s="66" t="s">
        <v>21</v>
      </c>
      <c r="C30" s="67">
        <f>+C28-'Ratio Analysis'!C21</f>
        <v>0</v>
      </c>
      <c r="D30" s="67">
        <f>+D28-'Ratio Analysis'!D21</f>
        <v>0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</row>
    <row r="31" spans="1:44" ht="15">
      <c r="A31" s="59"/>
      <c r="B31" s="58"/>
      <c r="C31" s="59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</row>
    <row r="32" spans="1:44" s="327" customFormat="1" ht="15">
      <c r="A32" s="328">
        <v>2</v>
      </c>
      <c r="B32" s="329" t="s">
        <v>367</v>
      </c>
      <c r="C32" s="325"/>
      <c r="D32" s="325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</row>
    <row r="33" spans="1:44" ht="15">
      <c r="A33" s="59"/>
      <c r="B33" s="68"/>
      <c r="C33" s="111"/>
      <c r="D33" s="111"/>
      <c r="E33" s="80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</row>
    <row r="34" spans="1:44" ht="16" thickBot="1">
      <c r="A34" s="59"/>
      <c r="B34" s="346" t="s">
        <v>368</v>
      </c>
      <c r="C34" s="347"/>
      <c r="D34" s="347"/>
      <c r="E34" s="347" t="s">
        <v>371</v>
      </c>
      <c r="F34" s="182"/>
      <c r="G34" s="182"/>
      <c r="H34" s="182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</row>
    <row r="35" spans="1:44" ht="15">
      <c r="A35" s="59"/>
      <c r="B35" s="62"/>
      <c r="C35" s="62"/>
      <c r="D35" s="62"/>
      <c r="E35" s="108"/>
      <c r="F35" s="108"/>
      <c r="G35" s="108"/>
      <c r="H35" s="10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</row>
    <row r="36" spans="1:44" ht="15">
      <c r="A36" s="59"/>
      <c r="B36" s="112" t="s">
        <v>370</v>
      </c>
      <c r="C36" s="62"/>
      <c r="D36" s="62"/>
      <c r="E36" s="108"/>
      <c r="F36" s="108"/>
      <c r="G36" s="108"/>
      <c r="H36" s="108"/>
      <c r="I36" s="108"/>
      <c r="J36" s="10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</row>
    <row r="37" spans="1:44" ht="15">
      <c r="A37" s="59"/>
      <c r="B37" s="105" t="s">
        <v>310</v>
      </c>
      <c r="C37" s="62"/>
      <c r="D37" s="62"/>
      <c r="E37" s="469">
        <v>30</v>
      </c>
      <c r="F37" s="108"/>
      <c r="G37" s="108"/>
      <c r="H37" s="108"/>
      <c r="I37" s="108"/>
      <c r="J37" s="10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</row>
    <row r="38" spans="1:44" ht="15">
      <c r="A38" s="59"/>
      <c r="B38" s="105" t="s">
        <v>70</v>
      </c>
      <c r="C38" s="62"/>
      <c r="D38" s="62"/>
      <c r="E38" s="469">
        <v>60</v>
      </c>
      <c r="F38" s="108"/>
      <c r="G38" s="108"/>
      <c r="H38" s="108"/>
      <c r="I38" s="108"/>
      <c r="J38" s="10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</row>
    <row r="39" spans="1:44" ht="15">
      <c r="A39" s="59"/>
      <c r="B39" s="105" t="s">
        <v>71</v>
      </c>
      <c r="C39" s="62"/>
      <c r="D39" s="62"/>
      <c r="E39" s="469">
        <v>40</v>
      </c>
      <c r="F39" s="108"/>
      <c r="G39" s="108"/>
      <c r="H39" s="108"/>
      <c r="I39" s="108"/>
      <c r="J39" s="10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</row>
    <row r="40" spans="1:44" ht="15">
      <c r="A40" s="59"/>
      <c r="B40" s="105" t="s">
        <v>72</v>
      </c>
      <c r="C40" s="62"/>
      <c r="D40" s="62"/>
      <c r="E40" s="469">
        <v>60</v>
      </c>
      <c r="F40" s="108"/>
      <c r="G40" s="108"/>
      <c r="H40" s="108"/>
      <c r="I40" s="108"/>
      <c r="J40" s="10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</row>
    <row r="41" spans="1:44" ht="15">
      <c r="A41" s="59"/>
      <c r="B41" s="105" t="s">
        <v>265</v>
      </c>
      <c r="C41" s="62"/>
      <c r="D41" s="62"/>
      <c r="E41" s="469">
        <v>30</v>
      </c>
      <c r="F41" s="108"/>
      <c r="G41" s="108"/>
      <c r="H41" s="108"/>
      <c r="I41" s="380"/>
      <c r="J41" s="10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</row>
    <row r="42" spans="1:44" ht="15">
      <c r="A42" s="59"/>
      <c r="B42" s="109" t="s">
        <v>348</v>
      </c>
      <c r="C42" s="109"/>
      <c r="D42" s="109"/>
      <c r="E42" s="471">
        <f>+E37+E38+E39-E40-E41</f>
        <v>40</v>
      </c>
      <c r="F42" s="108"/>
      <c r="G42" s="380"/>
      <c r="H42" s="380"/>
      <c r="I42" s="62"/>
      <c r="J42" s="10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</row>
    <row r="43" spans="1:44" ht="15">
      <c r="A43" s="59"/>
      <c r="B43" s="105"/>
      <c r="C43" s="62"/>
      <c r="D43" s="62"/>
      <c r="E43" s="62"/>
      <c r="F43" s="108"/>
      <c r="G43" s="62"/>
      <c r="H43" s="62"/>
      <c r="I43" s="62"/>
      <c r="J43" s="10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</row>
    <row r="44" spans="1:44" ht="15">
      <c r="A44" s="59"/>
      <c r="B44" s="105"/>
      <c r="C44" s="62"/>
      <c r="D44" s="62"/>
      <c r="E44" s="62"/>
      <c r="F44" s="108"/>
      <c r="G44" s="62"/>
      <c r="H44" s="62"/>
      <c r="I44" s="108"/>
      <c r="J44" s="10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</row>
    <row r="45" spans="1:44" ht="15">
      <c r="A45" s="59"/>
      <c r="B45" s="105" t="s">
        <v>89</v>
      </c>
      <c r="C45" s="62"/>
      <c r="D45" s="62"/>
      <c r="E45" s="469">
        <v>12000</v>
      </c>
      <c r="F45" s="108"/>
      <c r="G45" s="108"/>
      <c r="H45" s="108"/>
      <c r="I45" s="108"/>
      <c r="J45" s="10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</row>
    <row r="46" spans="1:44" ht="15">
      <c r="A46" s="59"/>
      <c r="B46" s="105" t="s">
        <v>250</v>
      </c>
      <c r="C46" s="62"/>
      <c r="D46" s="62"/>
      <c r="E46" s="469">
        <v>8000</v>
      </c>
      <c r="F46" s="108"/>
      <c r="G46" s="108"/>
      <c r="H46" s="108"/>
      <c r="I46" s="108"/>
      <c r="J46" s="10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</row>
    <row r="47" spans="1:44" ht="15">
      <c r="A47" s="59"/>
      <c r="B47" s="105" t="s">
        <v>90</v>
      </c>
      <c r="C47" s="62"/>
      <c r="D47" s="62"/>
      <c r="E47" s="469">
        <v>9000</v>
      </c>
      <c r="F47" s="108"/>
      <c r="G47" s="108"/>
      <c r="H47" s="108"/>
      <c r="I47" s="108"/>
      <c r="J47" s="10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</row>
    <row r="48" spans="1:44" ht="15">
      <c r="A48" s="59"/>
      <c r="B48" s="105" t="s">
        <v>266</v>
      </c>
      <c r="C48" s="62"/>
      <c r="D48" s="62"/>
      <c r="E48" s="469">
        <v>1500</v>
      </c>
      <c r="F48" s="108"/>
      <c r="G48" s="108"/>
      <c r="H48" s="108"/>
      <c r="I48" s="62"/>
      <c r="J48" s="10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</row>
    <row r="49" spans="1:44" ht="15">
      <c r="A49" s="59"/>
      <c r="B49" s="105"/>
      <c r="C49" s="62"/>
      <c r="D49" s="62"/>
      <c r="E49" s="62"/>
      <c r="F49" s="108"/>
      <c r="G49" s="62"/>
      <c r="H49" s="62"/>
      <c r="I49" s="108"/>
      <c r="J49" s="10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</row>
    <row r="50" spans="1:44" ht="15">
      <c r="A50" s="59"/>
      <c r="B50" s="105" t="s">
        <v>308</v>
      </c>
      <c r="C50" s="62"/>
      <c r="D50" s="62"/>
      <c r="E50" s="472">
        <f>E45/(365/E37)</f>
        <v>986.30136986301375</v>
      </c>
      <c r="F50" s="108"/>
      <c r="G50" s="108"/>
      <c r="H50" s="108"/>
      <c r="I50" s="108"/>
      <c r="J50" s="10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</row>
    <row r="51" spans="1:44" ht="15">
      <c r="A51" s="59"/>
      <c r="B51" s="105" t="s">
        <v>91</v>
      </c>
      <c r="C51" s="62"/>
      <c r="D51" s="62"/>
      <c r="E51" s="472">
        <f t="shared" ref="E51:E52" si="12">+E45/(365/E38)</f>
        <v>1972.6027397260275</v>
      </c>
      <c r="F51" s="108"/>
      <c r="G51" s="108"/>
      <c r="H51" s="108"/>
      <c r="I51" s="108"/>
      <c r="J51" s="10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</row>
    <row r="52" spans="1:44" ht="15">
      <c r="A52" s="59"/>
      <c r="B52" s="105" t="s">
        <v>93</v>
      </c>
      <c r="C52" s="62"/>
      <c r="D52" s="62"/>
      <c r="E52" s="472">
        <f t="shared" si="12"/>
        <v>876.71232876712327</v>
      </c>
      <c r="F52" s="108"/>
      <c r="G52" s="108"/>
      <c r="H52" s="108"/>
      <c r="I52" s="108"/>
      <c r="J52" s="10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</row>
    <row r="53" spans="1:44" ht="15">
      <c r="A53" s="59"/>
      <c r="B53" s="105" t="s">
        <v>92</v>
      </c>
      <c r="C53" s="62"/>
      <c r="D53" s="62"/>
      <c r="E53" s="472">
        <f>+E47/(365/E40)</f>
        <v>1479.4520547945206</v>
      </c>
      <c r="F53" s="108"/>
      <c r="G53" s="108"/>
      <c r="H53" s="108"/>
      <c r="I53" s="108"/>
      <c r="J53" s="10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</row>
    <row r="54" spans="1:44" ht="15">
      <c r="A54" s="59"/>
      <c r="B54" s="105" t="s">
        <v>264</v>
      </c>
      <c r="C54" s="62"/>
      <c r="D54" s="62"/>
      <c r="E54" s="472">
        <f>+E48/(365/E41)</f>
        <v>123.28767123287672</v>
      </c>
      <c r="F54" s="108"/>
      <c r="G54" s="108"/>
      <c r="H54" s="108"/>
      <c r="I54" s="62"/>
      <c r="J54" s="10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</row>
    <row r="55" spans="1:44" ht="15">
      <c r="A55" s="59"/>
      <c r="B55" s="105"/>
      <c r="C55" s="62"/>
      <c r="D55" s="62"/>
      <c r="E55" s="62"/>
      <c r="F55" s="108"/>
      <c r="G55" s="62"/>
      <c r="H55" s="62"/>
      <c r="I55" s="380"/>
      <c r="J55" s="10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</row>
    <row r="56" spans="1:44" ht="15">
      <c r="A56" s="59"/>
      <c r="B56" s="109" t="s">
        <v>94</v>
      </c>
      <c r="C56" s="109"/>
      <c r="D56" s="109"/>
      <c r="E56" s="471">
        <f>+E51+E52-E53-E54</f>
        <v>1246.5753424657535</v>
      </c>
      <c r="F56" s="108"/>
      <c r="G56" s="380"/>
      <c r="H56" s="380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</row>
    <row r="57" spans="1:44" ht="15">
      <c r="A57" s="59"/>
      <c r="B57" s="68"/>
      <c r="C57" s="111"/>
      <c r="D57" s="111"/>
      <c r="E57" s="80"/>
      <c r="F57" s="58"/>
      <c r="G57" s="58"/>
      <c r="H57" s="80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</row>
    <row r="58" spans="1:44" ht="15">
      <c r="A58" s="59"/>
      <c r="B58" s="319" t="s">
        <v>369</v>
      </c>
      <c r="C58" s="349"/>
      <c r="D58" s="349"/>
      <c r="E58" s="350"/>
      <c r="F58" s="381"/>
      <c r="G58" s="381"/>
      <c r="H58" s="381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</row>
    <row r="59" spans="1:44" ht="15">
      <c r="A59" s="59"/>
      <c r="B59" s="68"/>
      <c r="C59" s="111"/>
      <c r="D59" s="111"/>
      <c r="E59" s="80"/>
      <c r="F59" s="382"/>
      <c r="G59" s="382"/>
      <c r="H59" s="382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</row>
    <row r="60" spans="1:44" ht="15">
      <c r="A60" s="59"/>
      <c r="B60" s="68"/>
      <c r="C60" s="111"/>
      <c r="D60" s="111"/>
      <c r="E60" s="80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</row>
    <row r="61" spans="1:44" ht="15">
      <c r="A61" s="59"/>
      <c r="B61" s="68"/>
      <c r="C61" s="111"/>
      <c r="D61" s="111"/>
      <c r="E61" s="80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</row>
    <row r="62" spans="1:44" ht="15">
      <c r="A62" s="59"/>
      <c r="B62" s="68"/>
      <c r="C62" s="111"/>
      <c r="D62" s="111"/>
      <c r="E62" s="80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</row>
    <row r="63" spans="1:44" ht="15">
      <c r="A63" s="59"/>
      <c r="B63" s="68"/>
      <c r="C63" s="111"/>
      <c r="D63" s="111"/>
      <c r="E63" s="80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</row>
    <row r="64" spans="1:44" ht="15">
      <c r="A64" s="59"/>
      <c r="B64" s="68"/>
      <c r="C64" s="111"/>
      <c r="D64" s="111"/>
      <c r="E64" s="80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</row>
    <row r="65" spans="1:44" ht="15">
      <c r="A65" s="59"/>
      <c r="B65" s="68"/>
      <c r="C65" s="111"/>
      <c r="D65" s="111"/>
      <c r="E65" s="80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</row>
    <row r="66" spans="1:44" ht="15">
      <c r="A66" s="59"/>
      <c r="B66" s="68"/>
      <c r="C66" s="111"/>
      <c r="D66" s="111"/>
      <c r="E66" s="80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</row>
    <row r="67" spans="1:44" ht="15">
      <c r="A67" s="59"/>
      <c r="B67" s="68"/>
      <c r="C67" s="111"/>
      <c r="D67" s="111"/>
      <c r="E67" s="80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</row>
    <row r="68" spans="1:44" ht="15">
      <c r="A68" s="59"/>
      <c r="B68" s="68"/>
      <c r="C68" s="111"/>
      <c r="D68" s="111"/>
      <c r="E68" s="80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</row>
    <row r="69" spans="1:44" ht="15">
      <c r="A69" s="59"/>
      <c r="B69" s="58"/>
      <c r="C69" s="59"/>
      <c r="D69" s="59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</row>
    <row r="70" spans="1:44" ht="15">
      <c r="A70" s="59"/>
      <c r="B70" s="58"/>
      <c r="C70" s="59"/>
      <c r="D70" s="59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</row>
    <row r="71" spans="1:44" ht="15">
      <c r="A71" s="59"/>
      <c r="B71" s="58"/>
      <c r="C71" s="59"/>
      <c r="D71" s="59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</row>
    <row r="72" spans="1:44" ht="15">
      <c r="A72" s="59"/>
      <c r="B72" s="58"/>
      <c r="C72" s="59"/>
      <c r="D72" s="59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</row>
    <row r="73" spans="1:44" ht="15">
      <c r="A73" s="59"/>
      <c r="B73" s="58"/>
      <c r="C73" s="59"/>
      <c r="D73" s="59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</row>
    <row r="74" spans="1:44" ht="15">
      <c r="A74" s="59"/>
      <c r="B74" s="58"/>
      <c r="C74" s="59"/>
      <c r="D74" s="59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</row>
    <row r="75" spans="1:44" ht="15">
      <c r="A75" s="59"/>
      <c r="B75" s="58"/>
      <c r="C75" s="59"/>
      <c r="D75" s="59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</row>
    <row r="76" spans="1:44" ht="15">
      <c r="A76" s="59"/>
      <c r="B76" s="58"/>
      <c r="C76" s="59"/>
      <c r="D76" s="59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</row>
    <row r="77" spans="1:44" ht="15">
      <c r="A77" s="59"/>
      <c r="B77" s="58"/>
      <c r="C77" s="59"/>
      <c r="D77" s="59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/>
  </sheetPr>
  <dimension ref="A1:AO156"/>
  <sheetViews>
    <sheetView showGridLines="0" zoomScaleNormal="100" workbookViewId="0">
      <pane xSplit="5" topLeftCell="F1" activePane="topRight" state="frozen"/>
      <selection pane="topRight" activeCell="K63" sqref="K63"/>
    </sheetView>
  </sheetViews>
  <sheetFormatPr baseColWidth="10" defaultColWidth="8.83203125" defaultRowHeight="15"/>
  <cols>
    <col min="1" max="1" width="2" style="59" customWidth="1"/>
    <col min="2" max="2" width="32.83203125" style="58" customWidth="1"/>
    <col min="3" max="5" width="9.5" style="59" customWidth="1"/>
    <col min="6" max="41" width="12.33203125" style="58" customWidth="1"/>
    <col min="42" max="16384" width="8.83203125" style="16"/>
  </cols>
  <sheetData>
    <row r="1" spans="1:41" s="323" customFormat="1" ht="16">
      <c r="A1" s="297" t="s">
        <v>507</v>
      </c>
      <c r="B1" s="298"/>
      <c r="C1" s="299"/>
      <c r="D1" s="299"/>
      <c r="E1" s="299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</row>
    <row r="2" spans="1:41" s="119" customFormat="1" ht="16">
      <c r="A2" s="126"/>
      <c r="C2" s="166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</row>
    <row r="3" spans="1:41" s="119" customFormat="1" ht="16">
      <c r="A3" s="126"/>
      <c r="B3" s="176" t="s">
        <v>534</v>
      </c>
      <c r="C3" s="166"/>
      <c r="D3" s="127"/>
      <c r="E3" s="127"/>
      <c r="F3" s="163">
        <f>'Revenue &amp; COGS Building'!O12</f>
        <v>46053</v>
      </c>
      <c r="G3" s="163">
        <f>'Revenue &amp; COGS Building'!P12</f>
        <v>46054</v>
      </c>
      <c r="H3" s="163">
        <f>'Revenue &amp; COGS Building'!Q12</f>
        <v>46082</v>
      </c>
      <c r="I3" s="163">
        <f>'Revenue &amp; COGS Building'!R12</f>
        <v>46113</v>
      </c>
      <c r="J3" s="163">
        <f>'Revenue &amp; COGS Building'!S12</f>
        <v>46143</v>
      </c>
      <c r="K3" s="163">
        <f>'Revenue &amp; COGS Building'!T12</f>
        <v>46174</v>
      </c>
      <c r="L3" s="163">
        <f>'Revenue &amp; COGS Building'!U12</f>
        <v>46204</v>
      </c>
      <c r="M3" s="163">
        <f>'Revenue &amp; COGS Building'!V12</f>
        <v>46235</v>
      </c>
      <c r="N3" s="163">
        <f>'Revenue &amp; COGS Building'!W12</f>
        <v>46266</v>
      </c>
      <c r="O3" s="163">
        <f>'Revenue &amp; COGS Building'!X12</f>
        <v>46296</v>
      </c>
      <c r="P3" s="163">
        <f>'Revenue &amp; COGS Building'!Y12</f>
        <v>46327</v>
      </c>
      <c r="Q3" s="163">
        <f>'Revenue &amp; COGS Building'!Z12</f>
        <v>46357</v>
      </c>
      <c r="R3" s="163">
        <f>'Revenue &amp; COGS Building'!AA12</f>
        <v>46388</v>
      </c>
      <c r="S3" s="163">
        <f>'Revenue &amp; COGS Building'!AB12</f>
        <v>46419</v>
      </c>
      <c r="T3" s="163">
        <f>'Revenue &amp; COGS Building'!AC12</f>
        <v>46447</v>
      </c>
      <c r="U3" s="163">
        <f>'Revenue &amp; COGS Building'!AD12</f>
        <v>46478</v>
      </c>
      <c r="V3" s="163">
        <f>'Revenue &amp; COGS Building'!AE12</f>
        <v>46508</v>
      </c>
      <c r="W3" s="163">
        <f>'Revenue &amp; COGS Building'!AF12</f>
        <v>46539</v>
      </c>
      <c r="X3" s="163">
        <f>'Revenue &amp; COGS Building'!AG12</f>
        <v>46569</v>
      </c>
      <c r="Y3" s="163">
        <f>'Revenue &amp; COGS Building'!AH12</f>
        <v>46600</v>
      </c>
      <c r="Z3" s="163">
        <f>'Revenue &amp; COGS Building'!AI12</f>
        <v>46631</v>
      </c>
      <c r="AA3" s="163">
        <f>'Revenue &amp; COGS Building'!AJ12</f>
        <v>46661</v>
      </c>
      <c r="AB3" s="163">
        <f>'Revenue &amp; COGS Building'!AK12</f>
        <v>46692</v>
      </c>
      <c r="AC3" s="163">
        <f>'Revenue &amp; COGS Building'!AL12</f>
        <v>46722</v>
      </c>
      <c r="AD3" s="163">
        <f>'Revenue &amp; COGS Building'!AM12</f>
        <v>46753</v>
      </c>
      <c r="AE3" s="163">
        <f>'Revenue &amp; COGS Building'!AN12</f>
        <v>46784</v>
      </c>
      <c r="AF3" s="163">
        <f>'Revenue &amp; COGS Building'!AO12</f>
        <v>46813</v>
      </c>
      <c r="AG3" s="163">
        <f>'Revenue &amp; COGS Building'!AP12</f>
        <v>46844</v>
      </c>
      <c r="AH3" s="163">
        <f>'Revenue &amp; COGS Building'!AQ12</f>
        <v>46874</v>
      </c>
      <c r="AI3" s="163">
        <f>'Revenue &amp; COGS Building'!AR12</f>
        <v>46905</v>
      </c>
      <c r="AJ3" s="163">
        <f>'Revenue &amp; COGS Building'!AS12</f>
        <v>46935</v>
      </c>
      <c r="AK3" s="163">
        <f>'Revenue &amp; COGS Building'!AT12</f>
        <v>46966</v>
      </c>
      <c r="AL3" s="163">
        <f>'Revenue &amp; COGS Building'!AU12</f>
        <v>46997</v>
      </c>
      <c r="AM3" s="163">
        <f>'Revenue &amp; COGS Building'!AV12</f>
        <v>47027</v>
      </c>
      <c r="AN3" s="163">
        <f>'Revenue &amp; COGS Building'!AW12</f>
        <v>47058</v>
      </c>
      <c r="AO3" s="163">
        <f>'Revenue &amp; COGS Building'!AX12</f>
        <v>47088</v>
      </c>
    </row>
    <row r="4" spans="1:41">
      <c r="B4" s="200" t="s">
        <v>532</v>
      </c>
      <c r="F4" s="428">
        <f>'Revenue &amp; COGS Building'!O13</f>
        <v>1</v>
      </c>
      <c r="G4" s="428">
        <f>'Revenue &amp; COGS Building'!P13</f>
        <v>2</v>
      </c>
      <c r="H4" s="428">
        <f>'Revenue &amp; COGS Building'!Q13</f>
        <v>3</v>
      </c>
      <c r="I4" s="428">
        <f>'Revenue &amp; COGS Building'!R13</f>
        <v>4</v>
      </c>
      <c r="J4" s="428">
        <f>'Revenue &amp; COGS Building'!S13</f>
        <v>5</v>
      </c>
      <c r="K4" s="428">
        <f>'Revenue &amp; COGS Building'!T13</f>
        <v>6</v>
      </c>
      <c r="L4" s="428">
        <f>'Revenue &amp; COGS Building'!U13</f>
        <v>7</v>
      </c>
      <c r="M4" s="428">
        <f>'Revenue &amp; COGS Building'!V13</f>
        <v>8</v>
      </c>
      <c r="N4" s="428">
        <f>'Revenue &amp; COGS Building'!W13</f>
        <v>9</v>
      </c>
      <c r="O4" s="428">
        <f>'Revenue &amp; COGS Building'!X13</f>
        <v>10</v>
      </c>
      <c r="P4" s="428">
        <f>'Revenue &amp; COGS Building'!Y13</f>
        <v>11</v>
      </c>
      <c r="Q4" s="428">
        <f>'Revenue &amp; COGS Building'!Z13</f>
        <v>12</v>
      </c>
      <c r="R4" s="428">
        <f>'Revenue &amp; COGS Building'!AA13</f>
        <v>13</v>
      </c>
      <c r="S4" s="428">
        <f>'Revenue &amp; COGS Building'!AB13</f>
        <v>14</v>
      </c>
      <c r="T4" s="428">
        <f>'Revenue &amp; COGS Building'!AC13</f>
        <v>15</v>
      </c>
      <c r="U4" s="428">
        <f>'Revenue &amp; COGS Building'!AD13</f>
        <v>16</v>
      </c>
      <c r="V4" s="428">
        <f>'Revenue &amp; COGS Building'!AE13</f>
        <v>17</v>
      </c>
      <c r="W4" s="428">
        <f>'Revenue &amp; COGS Building'!AF13</f>
        <v>18</v>
      </c>
      <c r="X4" s="428">
        <f>'Revenue &amp; COGS Building'!AG13</f>
        <v>19</v>
      </c>
      <c r="Y4" s="428">
        <f>'Revenue &amp; COGS Building'!AH13</f>
        <v>20</v>
      </c>
      <c r="Z4" s="428">
        <f>'Revenue &amp; COGS Building'!AI13</f>
        <v>21</v>
      </c>
      <c r="AA4" s="428">
        <f>'Revenue &amp; COGS Building'!AJ13</f>
        <v>22</v>
      </c>
      <c r="AB4" s="428">
        <f>'Revenue &amp; COGS Building'!AK13</f>
        <v>23</v>
      </c>
      <c r="AC4" s="428">
        <f>'Revenue &amp; COGS Building'!AL13</f>
        <v>24</v>
      </c>
      <c r="AD4" s="428">
        <f>'Revenue &amp; COGS Building'!AM13</f>
        <v>25</v>
      </c>
      <c r="AE4" s="428">
        <f>'Revenue &amp; COGS Building'!AN13</f>
        <v>26</v>
      </c>
      <c r="AF4" s="428">
        <f>'Revenue &amp; COGS Building'!AO13</f>
        <v>27</v>
      </c>
      <c r="AG4" s="428">
        <f>'Revenue &amp; COGS Building'!AP13</f>
        <v>28</v>
      </c>
      <c r="AH4" s="428">
        <f>'Revenue &amp; COGS Building'!AQ13</f>
        <v>29</v>
      </c>
      <c r="AI4" s="428">
        <f>'Revenue &amp; COGS Building'!AR13</f>
        <v>30</v>
      </c>
      <c r="AJ4" s="428">
        <f>'Revenue &amp; COGS Building'!AS13</f>
        <v>31</v>
      </c>
      <c r="AK4" s="428">
        <f>'Revenue &amp; COGS Building'!AT13</f>
        <v>32</v>
      </c>
      <c r="AL4" s="428">
        <f>'Revenue &amp; COGS Building'!AU13</f>
        <v>33</v>
      </c>
      <c r="AM4" s="428">
        <f>'Revenue &amp; COGS Building'!AV13</f>
        <v>34</v>
      </c>
      <c r="AN4" s="428">
        <f>'Revenue &amp; COGS Building'!AW13</f>
        <v>35</v>
      </c>
      <c r="AO4" s="428">
        <f>'Revenue &amp; COGS Building'!AX13</f>
        <v>36</v>
      </c>
    </row>
    <row r="5" spans="1:41">
      <c r="B5" s="200" t="s">
        <v>533</v>
      </c>
      <c r="F5" s="428">
        <f>'Revenue &amp; COGS Building'!O14</f>
        <v>1</v>
      </c>
      <c r="G5" s="428">
        <f>'Revenue &amp; COGS Building'!P14</f>
        <v>1</v>
      </c>
      <c r="H5" s="428">
        <f>'Revenue &amp; COGS Building'!Q14</f>
        <v>1</v>
      </c>
      <c r="I5" s="428">
        <f>'Revenue &amp; COGS Building'!R14</f>
        <v>1</v>
      </c>
      <c r="J5" s="428">
        <f>'Revenue &amp; COGS Building'!S14</f>
        <v>1</v>
      </c>
      <c r="K5" s="428">
        <f>'Revenue &amp; COGS Building'!T14</f>
        <v>1</v>
      </c>
      <c r="L5" s="428">
        <f>'Revenue &amp; COGS Building'!U14</f>
        <v>1</v>
      </c>
      <c r="M5" s="428">
        <f>'Revenue &amp; COGS Building'!V14</f>
        <v>1</v>
      </c>
      <c r="N5" s="428">
        <f>'Revenue &amp; COGS Building'!W14</f>
        <v>1</v>
      </c>
      <c r="O5" s="428">
        <f>'Revenue &amp; COGS Building'!X14</f>
        <v>1</v>
      </c>
      <c r="P5" s="428">
        <f>'Revenue &amp; COGS Building'!Y14</f>
        <v>1</v>
      </c>
      <c r="Q5" s="428">
        <f>'Revenue &amp; COGS Building'!Z14</f>
        <v>1</v>
      </c>
      <c r="R5" s="428">
        <f>'Revenue &amp; COGS Building'!AA14</f>
        <v>2</v>
      </c>
      <c r="S5" s="428">
        <f>'Revenue &amp; COGS Building'!AB14</f>
        <v>2</v>
      </c>
      <c r="T5" s="428">
        <f>'Revenue &amp; COGS Building'!AC14</f>
        <v>2</v>
      </c>
      <c r="U5" s="428">
        <f>'Revenue &amp; COGS Building'!AD14</f>
        <v>2</v>
      </c>
      <c r="V5" s="428">
        <f>'Revenue &amp; COGS Building'!AE14</f>
        <v>2</v>
      </c>
      <c r="W5" s="428">
        <f>'Revenue &amp; COGS Building'!AF14</f>
        <v>2</v>
      </c>
      <c r="X5" s="428">
        <f>'Revenue &amp; COGS Building'!AG14</f>
        <v>2</v>
      </c>
      <c r="Y5" s="428">
        <f>'Revenue &amp; COGS Building'!AH14</f>
        <v>2</v>
      </c>
      <c r="Z5" s="428">
        <f>'Revenue &amp; COGS Building'!AI14</f>
        <v>2</v>
      </c>
      <c r="AA5" s="428">
        <f>'Revenue &amp; COGS Building'!AJ14</f>
        <v>2</v>
      </c>
      <c r="AB5" s="428">
        <f>'Revenue &amp; COGS Building'!AK14</f>
        <v>2</v>
      </c>
      <c r="AC5" s="428">
        <f>'Revenue &amp; COGS Building'!AL14</f>
        <v>2</v>
      </c>
      <c r="AD5" s="428">
        <f>'Revenue &amp; COGS Building'!AM14</f>
        <v>3</v>
      </c>
      <c r="AE5" s="428">
        <f>'Revenue &amp; COGS Building'!AN14</f>
        <v>3</v>
      </c>
      <c r="AF5" s="428">
        <f>'Revenue &amp; COGS Building'!AO14</f>
        <v>3</v>
      </c>
      <c r="AG5" s="428">
        <f>'Revenue &amp; COGS Building'!AP14</f>
        <v>3</v>
      </c>
      <c r="AH5" s="428">
        <f>'Revenue &amp; COGS Building'!AQ14</f>
        <v>3</v>
      </c>
      <c r="AI5" s="428">
        <f>'Revenue &amp; COGS Building'!AR14</f>
        <v>3</v>
      </c>
      <c r="AJ5" s="428">
        <f>'Revenue &amp; COGS Building'!AS14</f>
        <v>3</v>
      </c>
      <c r="AK5" s="428">
        <f>'Revenue &amp; COGS Building'!AT14</f>
        <v>3</v>
      </c>
      <c r="AL5" s="428">
        <f>'Revenue &amp; COGS Building'!AU14</f>
        <v>3</v>
      </c>
      <c r="AM5" s="428">
        <f>'Revenue &amp; COGS Building'!AV14</f>
        <v>3</v>
      </c>
      <c r="AN5" s="428">
        <f>'Revenue &amp; COGS Building'!AW14</f>
        <v>3</v>
      </c>
      <c r="AO5" s="428">
        <f>'Revenue &amp; COGS Building'!AX14</f>
        <v>3</v>
      </c>
    </row>
    <row r="6" spans="1:41" s="11" customFormat="1" ht="28" thickBot="1">
      <c r="A6" s="65"/>
      <c r="B6" s="341" t="s">
        <v>8</v>
      </c>
      <c r="C6" s="345" t="s">
        <v>74</v>
      </c>
      <c r="D6" s="345" t="s">
        <v>550</v>
      </c>
      <c r="E6" s="341">
        <f>'Historicals &amp; Projections'!D6</f>
        <v>2025</v>
      </c>
      <c r="F6" s="341">
        <f>'Revenue &amp; COGS Building'!O15</f>
        <v>2026</v>
      </c>
      <c r="G6" s="341">
        <f>'Revenue &amp; COGS Building'!P15</f>
        <v>2026</v>
      </c>
      <c r="H6" s="341">
        <f>'Revenue &amp; COGS Building'!Q15</f>
        <v>2026</v>
      </c>
      <c r="I6" s="341">
        <f>'Revenue &amp; COGS Building'!R15</f>
        <v>2026</v>
      </c>
      <c r="J6" s="341">
        <f>'Revenue &amp; COGS Building'!S15</f>
        <v>2026</v>
      </c>
      <c r="K6" s="341">
        <f>'Revenue &amp; COGS Building'!T15</f>
        <v>2026</v>
      </c>
      <c r="L6" s="341">
        <f>'Revenue &amp; COGS Building'!U15</f>
        <v>2026</v>
      </c>
      <c r="M6" s="341">
        <f>'Revenue &amp; COGS Building'!V15</f>
        <v>2026</v>
      </c>
      <c r="N6" s="341">
        <f>'Revenue &amp; COGS Building'!W15</f>
        <v>2026</v>
      </c>
      <c r="O6" s="341">
        <f>'Revenue &amp; COGS Building'!X15</f>
        <v>2026</v>
      </c>
      <c r="P6" s="341">
        <f>'Revenue &amp; COGS Building'!Y15</f>
        <v>2026</v>
      </c>
      <c r="Q6" s="341">
        <f>'Revenue &amp; COGS Building'!Z15</f>
        <v>2026</v>
      </c>
      <c r="R6" s="341">
        <f>'Revenue &amp; COGS Building'!AA15</f>
        <v>2027</v>
      </c>
      <c r="S6" s="341">
        <f>'Revenue &amp; COGS Building'!AB15</f>
        <v>2027</v>
      </c>
      <c r="T6" s="341">
        <f>'Revenue &amp; COGS Building'!AC15</f>
        <v>2027</v>
      </c>
      <c r="U6" s="341">
        <f>'Revenue &amp; COGS Building'!AD15</f>
        <v>2027</v>
      </c>
      <c r="V6" s="341">
        <f>'Revenue &amp; COGS Building'!AE15</f>
        <v>2027</v>
      </c>
      <c r="W6" s="341">
        <f>'Revenue &amp; COGS Building'!AF15</f>
        <v>2027</v>
      </c>
      <c r="X6" s="341">
        <f>'Revenue &amp; COGS Building'!AG15</f>
        <v>2027</v>
      </c>
      <c r="Y6" s="341">
        <f>'Revenue &amp; COGS Building'!AH15</f>
        <v>2027</v>
      </c>
      <c r="Z6" s="341">
        <f>'Revenue &amp; COGS Building'!AI15</f>
        <v>2027</v>
      </c>
      <c r="AA6" s="341">
        <f>'Revenue &amp; COGS Building'!AJ15</f>
        <v>2027</v>
      </c>
      <c r="AB6" s="341">
        <f>'Revenue &amp; COGS Building'!AK15</f>
        <v>2027</v>
      </c>
      <c r="AC6" s="341">
        <f>'Revenue &amp; COGS Building'!AL15</f>
        <v>2027</v>
      </c>
      <c r="AD6" s="341">
        <f>'Revenue &amp; COGS Building'!AM15</f>
        <v>2028</v>
      </c>
      <c r="AE6" s="341">
        <f>'Revenue &amp; COGS Building'!AN15</f>
        <v>2028</v>
      </c>
      <c r="AF6" s="341">
        <f>'Revenue &amp; COGS Building'!AO15</f>
        <v>2028</v>
      </c>
      <c r="AG6" s="341">
        <f>'Revenue &amp; COGS Building'!AP15</f>
        <v>2028</v>
      </c>
      <c r="AH6" s="341">
        <f>'Revenue &amp; COGS Building'!AQ15</f>
        <v>2028</v>
      </c>
      <c r="AI6" s="341">
        <f>'Revenue &amp; COGS Building'!AR15</f>
        <v>2028</v>
      </c>
      <c r="AJ6" s="341">
        <f>'Revenue &amp; COGS Building'!AS15</f>
        <v>2028</v>
      </c>
      <c r="AK6" s="341">
        <f>'Revenue &amp; COGS Building'!AT15</f>
        <v>2028</v>
      </c>
      <c r="AL6" s="341">
        <f>'Revenue &amp; COGS Building'!AU15</f>
        <v>2028</v>
      </c>
      <c r="AM6" s="341">
        <f>'Revenue &amp; COGS Building'!AV15</f>
        <v>2028</v>
      </c>
      <c r="AN6" s="341">
        <f>'Revenue &amp; COGS Building'!AW15</f>
        <v>2028</v>
      </c>
      <c r="AO6" s="341">
        <f>'Revenue &amp; COGS Building'!AX15</f>
        <v>2028</v>
      </c>
    </row>
    <row r="7" spans="1:41" s="11" customFormat="1">
      <c r="A7" s="65"/>
      <c r="B7" s="69"/>
      <c r="C7" s="69"/>
      <c r="D7" s="69"/>
      <c r="E7" s="69"/>
      <c r="F7" s="58"/>
      <c r="G7" s="58"/>
      <c r="H7" s="12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s="11" customFormat="1">
      <c r="A8" s="65"/>
      <c r="B8" s="130" t="s">
        <v>15</v>
      </c>
      <c r="C8" s="477">
        <v>5</v>
      </c>
      <c r="D8" s="478">
        <f>(1/C8%/100)/Assumptions!$C$6</f>
        <v>1.6666666666666666E-2</v>
      </c>
      <c r="E8" s="72"/>
      <c r="F8" s="457">
        <f>E9</f>
        <v>400</v>
      </c>
      <c r="G8" s="457"/>
      <c r="H8" s="457"/>
      <c r="I8" s="457"/>
      <c r="J8" s="457"/>
      <c r="K8" s="457"/>
      <c r="L8" s="457"/>
      <c r="M8" s="457"/>
      <c r="N8" s="457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457"/>
      <c r="AF8" s="457"/>
      <c r="AG8" s="457"/>
      <c r="AH8" s="457"/>
      <c r="AI8" s="457"/>
      <c r="AJ8" s="457"/>
      <c r="AK8" s="457"/>
      <c r="AL8" s="457"/>
      <c r="AM8" s="457"/>
      <c r="AN8" s="457"/>
      <c r="AO8" s="457"/>
    </row>
    <row r="9" spans="1:41" s="11" customFormat="1">
      <c r="A9" s="65"/>
      <c r="B9" s="72" t="s">
        <v>75</v>
      </c>
      <c r="C9" s="72"/>
      <c r="D9" s="72"/>
      <c r="E9" s="479">
        <v>400</v>
      </c>
      <c r="F9" s="455">
        <f>SUM(F8:F8)</f>
        <v>400</v>
      </c>
      <c r="G9" s="455">
        <f>SUM(G8:G8)</f>
        <v>0</v>
      </c>
      <c r="H9" s="455">
        <f>SUM(H8:H8)</f>
        <v>0</v>
      </c>
      <c r="I9" s="455">
        <f>SUM(I8:I8)</f>
        <v>0</v>
      </c>
      <c r="J9" s="455">
        <f>SUM(J8:J8)</f>
        <v>0</v>
      </c>
      <c r="K9" s="455">
        <f t="shared" ref="K9:Q9" si="0">SUM(K8:K8)</f>
        <v>0</v>
      </c>
      <c r="L9" s="455">
        <f t="shared" si="0"/>
        <v>0</v>
      </c>
      <c r="M9" s="455">
        <f t="shared" si="0"/>
        <v>0</v>
      </c>
      <c r="N9" s="455">
        <f t="shared" si="0"/>
        <v>0</v>
      </c>
      <c r="O9" s="455">
        <f t="shared" si="0"/>
        <v>0</v>
      </c>
      <c r="P9" s="455">
        <f t="shared" si="0"/>
        <v>0</v>
      </c>
      <c r="Q9" s="455">
        <f t="shared" si="0"/>
        <v>0</v>
      </c>
      <c r="R9" s="455">
        <f t="shared" ref="R9:AO9" si="1">SUM(R8:R8)</f>
        <v>0</v>
      </c>
      <c r="S9" s="455">
        <f t="shared" si="1"/>
        <v>0</v>
      </c>
      <c r="T9" s="455">
        <f t="shared" si="1"/>
        <v>0</v>
      </c>
      <c r="U9" s="455">
        <f t="shared" si="1"/>
        <v>0</v>
      </c>
      <c r="V9" s="455">
        <f t="shared" si="1"/>
        <v>0</v>
      </c>
      <c r="W9" s="455">
        <f t="shared" si="1"/>
        <v>0</v>
      </c>
      <c r="X9" s="455">
        <f t="shared" si="1"/>
        <v>0</v>
      </c>
      <c r="Y9" s="455">
        <f t="shared" si="1"/>
        <v>0</v>
      </c>
      <c r="Z9" s="455">
        <f t="shared" si="1"/>
        <v>0</v>
      </c>
      <c r="AA9" s="455">
        <f t="shared" si="1"/>
        <v>0</v>
      </c>
      <c r="AB9" s="455">
        <f t="shared" si="1"/>
        <v>0</v>
      </c>
      <c r="AC9" s="455">
        <f t="shared" si="1"/>
        <v>0</v>
      </c>
      <c r="AD9" s="455">
        <f t="shared" si="1"/>
        <v>0</v>
      </c>
      <c r="AE9" s="455">
        <f t="shared" si="1"/>
        <v>0</v>
      </c>
      <c r="AF9" s="455">
        <f t="shared" si="1"/>
        <v>0</v>
      </c>
      <c r="AG9" s="455">
        <f t="shared" si="1"/>
        <v>0</v>
      </c>
      <c r="AH9" s="455">
        <f t="shared" si="1"/>
        <v>0</v>
      </c>
      <c r="AI9" s="455">
        <f t="shared" si="1"/>
        <v>0</v>
      </c>
      <c r="AJ9" s="455">
        <f t="shared" si="1"/>
        <v>0</v>
      </c>
      <c r="AK9" s="455">
        <f t="shared" si="1"/>
        <v>0</v>
      </c>
      <c r="AL9" s="455">
        <f t="shared" si="1"/>
        <v>0</v>
      </c>
      <c r="AM9" s="455">
        <f t="shared" si="1"/>
        <v>0</v>
      </c>
      <c r="AN9" s="455">
        <f t="shared" si="1"/>
        <v>0</v>
      </c>
      <c r="AO9" s="455">
        <f t="shared" si="1"/>
        <v>0</v>
      </c>
    </row>
    <row r="10" spans="1:41" s="11" customFormat="1">
      <c r="A10" s="65"/>
      <c r="B10" s="58"/>
      <c r="C10" s="58"/>
      <c r="D10" s="58"/>
      <c r="E10" s="58"/>
      <c r="F10" s="73"/>
      <c r="G10" s="73"/>
      <c r="H10" s="73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</row>
    <row r="11" spans="1:41" s="11" customFormat="1">
      <c r="A11" s="65"/>
      <c r="B11" s="130" t="s">
        <v>237</v>
      </c>
      <c r="C11" s="477">
        <v>5</v>
      </c>
      <c r="D11" s="478">
        <f>(1/C11%/100)/Assumptions!$C$6</f>
        <v>1.6666666666666666E-2</v>
      </c>
      <c r="E11" s="72"/>
      <c r="F11" s="457">
        <v>350</v>
      </c>
      <c r="G11" s="457">
        <v>0</v>
      </c>
      <c r="H11" s="457"/>
      <c r="I11" s="457"/>
      <c r="J11" s="457"/>
      <c r="K11" s="457"/>
      <c r="L11" s="457"/>
      <c r="M11" s="457"/>
      <c r="N11" s="457"/>
      <c r="O11" s="457"/>
      <c r="P11" s="457"/>
      <c r="Q11" s="457"/>
      <c r="R11" s="457"/>
      <c r="S11" s="457">
        <v>10000</v>
      </c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>
        <v>5000</v>
      </c>
      <c r="AE11" s="457"/>
      <c r="AF11" s="457"/>
      <c r="AG11" s="457"/>
      <c r="AH11" s="457"/>
      <c r="AI11" s="457"/>
      <c r="AJ11" s="457"/>
      <c r="AK11" s="457"/>
      <c r="AL11" s="457"/>
      <c r="AM11" s="457"/>
      <c r="AN11" s="457"/>
      <c r="AO11" s="457"/>
    </row>
    <row r="12" spans="1:41" s="11" customFormat="1">
      <c r="A12" s="65"/>
      <c r="B12" s="130" t="s">
        <v>238</v>
      </c>
      <c r="C12" s="477">
        <v>5</v>
      </c>
      <c r="D12" s="478">
        <f>(1/C12%/100)/Assumptions!$C$6</f>
        <v>1.6666666666666666E-2</v>
      </c>
      <c r="E12" s="72"/>
      <c r="F12" s="457">
        <v>100</v>
      </c>
      <c r="G12" s="457"/>
      <c r="H12" s="457"/>
      <c r="I12" s="457"/>
      <c r="J12" s="457"/>
      <c r="K12" s="457"/>
      <c r="L12" s="457"/>
      <c r="M12" s="457"/>
      <c r="N12" s="457"/>
      <c r="O12" s="457"/>
      <c r="P12" s="457"/>
      <c r="Q12" s="457"/>
      <c r="R12" s="457"/>
      <c r="S12" s="457">
        <v>5000</v>
      </c>
      <c r="T12" s="457"/>
      <c r="U12" s="457"/>
      <c r="V12" s="457"/>
      <c r="W12" s="457"/>
      <c r="X12" s="457"/>
      <c r="Y12" s="457"/>
      <c r="Z12" s="457"/>
      <c r="AA12" s="457"/>
      <c r="AB12" s="457"/>
      <c r="AC12" s="457"/>
      <c r="AD12" s="457">
        <v>50000</v>
      </c>
      <c r="AE12" s="457"/>
      <c r="AF12" s="457"/>
      <c r="AG12" s="457"/>
      <c r="AH12" s="457"/>
      <c r="AI12" s="457"/>
      <c r="AJ12" s="457"/>
      <c r="AK12" s="457"/>
      <c r="AL12" s="457"/>
      <c r="AM12" s="457"/>
      <c r="AN12" s="457"/>
      <c r="AO12" s="457"/>
    </row>
    <row r="13" spans="1:41" s="11" customFormat="1">
      <c r="A13" s="65"/>
      <c r="B13" s="130" t="s">
        <v>239</v>
      </c>
      <c r="C13" s="477">
        <v>5</v>
      </c>
      <c r="D13" s="478">
        <f>(1/C13%/100)/Assumptions!$C$6</f>
        <v>1.6666666666666666E-2</v>
      </c>
      <c r="E13" s="72"/>
      <c r="F13" s="457">
        <v>120</v>
      </c>
      <c r="G13" s="457"/>
      <c r="H13" s="457"/>
      <c r="I13" s="457"/>
      <c r="J13" s="457"/>
      <c r="K13" s="457"/>
      <c r="L13" s="457"/>
      <c r="M13" s="457"/>
      <c r="N13" s="457"/>
      <c r="O13" s="457"/>
      <c r="P13" s="457"/>
      <c r="Q13" s="457"/>
      <c r="R13" s="457"/>
      <c r="S13" s="457">
        <v>2500</v>
      </c>
      <c r="T13" s="457"/>
      <c r="U13" s="457"/>
      <c r="V13" s="457"/>
      <c r="W13" s="457"/>
      <c r="X13" s="457"/>
      <c r="Y13" s="457"/>
      <c r="Z13" s="457"/>
      <c r="AA13" s="457"/>
      <c r="AB13" s="457"/>
      <c r="AC13" s="457"/>
      <c r="AD13" s="457">
        <v>25000</v>
      </c>
      <c r="AE13" s="457"/>
      <c r="AF13" s="457"/>
      <c r="AG13" s="457"/>
      <c r="AH13" s="457"/>
      <c r="AI13" s="457"/>
      <c r="AJ13" s="457"/>
      <c r="AK13" s="457"/>
      <c r="AL13" s="457"/>
      <c r="AM13" s="457"/>
      <c r="AN13" s="457"/>
      <c r="AO13" s="457"/>
    </row>
    <row r="14" spans="1:41" s="11" customFormat="1">
      <c r="A14" s="65"/>
      <c r="B14" s="72" t="s">
        <v>76</v>
      </c>
      <c r="C14" s="72"/>
      <c r="D14" s="72"/>
      <c r="E14" s="72"/>
      <c r="F14" s="455">
        <f>SUM(F11:F13)</f>
        <v>570</v>
      </c>
      <c r="G14" s="455">
        <f>SUM(G11:G13)</f>
        <v>0</v>
      </c>
      <c r="H14" s="455">
        <f>SUM(H11:H13)</f>
        <v>0</v>
      </c>
      <c r="I14" s="455">
        <f>SUM(I11:I13)</f>
        <v>0</v>
      </c>
      <c r="J14" s="455">
        <f>SUM(J11:J13)</f>
        <v>0</v>
      </c>
      <c r="K14" s="455">
        <f t="shared" ref="K14:Q14" si="2">SUM(K11:K13)</f>
        <v>0</v>
      </c>
      <c r="L14" s="455">
        <f t="shared" si="2"/>
        <v>0</v>
      </c>
      <c r="M14" s="455">
        <f t="shared" si="2"/>
        <v>0</v>
      </c>
      <c r="N14" s="455">
        <f t="shared" si="2"/>
        <v>0</v>
      </c>
      <c r="O14" s="455">
        <f t="shared" si="2"/>
        <v>0</v>
      </c>
      <c r="P14" s="455">
        <f t="shared" si="2"/>
        <v>0</v>
      </c>
      <c r="Q14" s="455">
        <f t="shared" si="2"/>
        <v>0</v>
      </c>
      <c r="R14" s="455">
        <f t="shared" ref="R14:AO14" si="3">SUM(R11:R13)</f>
        <v>0</v>
      </c>
      <c r="S14" s="455">
        <f t="shared" si="3"/>
        <v>17500</v>
      </c>
      <c r="T14" s="455">
        <f t="shared" si="3"/>
        <v>0</v>
      </c>
      <c r="U14" s="455">
        <f t="shared" si="3"/>
        <v>0</v>
      </c>
      <c r="V14" s="455">
        <f t="shared" si="3"/>
        <v>0</v>
      </c>
      <c r="W14" s="455">
        <f t="shared" si="3"/>
        <v>0</v>
      </c>
      <c r="X14" s="455">
        <f t="shared" si="3"/>
        <v>0</v>
      </c>
      <c r="Y14" s="455">
        <f t="shared" si="3"/>
        <v>0</v>
      </c>
      <c r="Z14" s="455">
        <f t="shared" si="3"/>
        <v>0</v>
      </c>
      <c r="AA14" s="455">
        <f t="shared" si="3"/>
        <v>0</v>
      </c>
      <c r="AB14" s="455">
        <f t="shared" si="3"/>
        <v>0</v>
      </c>
      <c r="AC14" s="455">
        <f t="shared" si="3"/>
        <v>0</v>
      </c>
      <c r="AD14" s="455">
        <f t="shared" si="3"/>
        <v>80000</v>
      </c>
      <c r="AE14" s="455">
        <f t="shared" si="3"/>
        <v>0</v>
      </c>
      <c r="AF14" s="455">
        <f t="shared" si="3"/>
        <v>0</v>
      </c>
      <c r="AG14" s="455">
        <f t="shared" si="3"/>
        <v>0</v>
      </c>
      <c r="AH14" s="455">
        <f t="shared" si="3"/>
        <v>0</v>
      </c>
      <c r="AI14" s="455">
        <f t="shared" si="3"/>
        <v>0</v>
      </c>
      <c r="AJ14" s="455">
        <f t="shared" si="3"/>
        <v>0</v>
      </c>
      <c r="AK14" s="455">
        <f t="shared" si="3"/>
        <v>0</v>
      </c>
      <c r="AL14" s="455">
        <f t="shared" si="3"/>
        <v>0</v>
      </c>
      <c r="AM14" s="455">
        <f t="shared" si="3"/>
        <v>0</v>
      </c>
      <c r="AN14" s="455">
        <f t="shared" si="3"/>
        <v>0</v>
      </c>
      <c r="AO14" s="455">
        <f t="shared" si="3"/>
        <v>0</v>
      </c>
    </row>
    <row r="15" spans="1:41"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</row>
    <row r="16" spans="1:41">
      <c r="B16" s="301" t="s">
        <v>77</v>
      </c>
      <c r="C16" s="330"/>
      <c r="D16" s="330"/>
      <c r="E16" s="330"/>
      <c r="F16" s="331">
        <f>+F14+F9</f>
        <v>970</v>
      </c>
      <c r="G16" s="331">
        <f t="shared" ref="G16:Q16" si="4">+G14+G9</f>
        <v>0</v>
      </c>
      <c r="H16" s="331">
        <f t="shared" si="4"/>
        <v>0</v>
      </c>
      <c r="I16" s="331">
        <f t="shared" si="4"/>
        <v>0</v>
      </c>
      <c r="J16" s="331">
        <f t="shared" si="4"/>
        <v>0</v>
      </c>
      <c r="K16" s="331">
        <f t="shared" si="4"/>
        <v>0</v>
      </c>
      <c r="L16" s="331">
        <f t="shared" si="4"/>
        <v>0</v>
      </c>
      <c r="M16" s="331">
        <f t="shared" si="4"/>
        <v>0</v>
      </c>
      <c r="N16" s="331">
        <f t="shared" si="4"/>
        <v>0</v>
      </c>
      <c r="O16" s="331">
        <f t="shared" si="4"/>
        <v>0</v>
      </c>
      <c r="P16" s="331">
        <f t="shared" si="4"/>
        <v>0</v>
      </c>
      <c r="Q16" s="331">
        <f t="shared" si="4"/>
        <v>0</v>
      </c>
      <c r="R16" s="331">
        <f t="shared" ref="R16:AO16" si="5">+R14+R9</f>
        <v>0</v>
      </c>
      <c r="S16" s="331">
        <f>+S14+S9</f>
        <v>17500</v>
      </c>
      <c r="T16" s="331">
        <f t="shared" si="5"/>
        <v>0</v>
      </c>
      <c r="U16" s="331">
        <f t="shared" si="5"/>
        <v>0</v>
      </c>
      <c r="V16" s="331">
        <f t="shared" si="5"/>
        <v>0</v>
      </c>
      <c r="W16" s="331">
        <f t="shared" si="5"/>
        <v>0</v>
      </c>
      <c r="X16" s="331">
        <f t="shared" si="5"/>
        <v>0</v>
      </c>
      <c r="Y16" s="331">
        <f t="shared" si="5"/>
        <v>0</v>
      </c>
      <c r="Z16" s="331">
        <f t="shared" si="5"/>
        <v>0</v>
      </c>
      <c r="AA16" s="331">
        <f t="shared" si="5"/>
        <v>0</v>
      </c>
      <c r="AB16" s="331">
        <f t="shared" si="5"/>
        <v>0</v>
      </c>
      <c r="AC16" s="331">
        <f t="shared" si="5"/>
        <v>0</v>
      </c>
      <c r="AD16" s="331">
        <f t="shared" si="5"/>
        <v>80000</v>
      </c>
      <c r="AE16" s="331">
        <f t="shared" si="5"/>
        <v>0</v>
      </c>
      <c r="AF16" s="331">
        <f t="shared" si="5"/>
        <v>0</v>
      </c>
      <c r="AG16" s="331">
        <f t="shared" si="5"/>
        <v>0</v>
      </c>
      <c r="AH16" s="331">
        <f t="shared" si="5"/>
        <v>0</v>
      </c>
      <c r="AI16" s="331">
        <f t="shared" si="5"/>
        <v>0</v>
      </c>
      <c r="AJ16" s="331">
        <f t="shared" si="5"/>
        <v>0</v>
      </c>
      <c r="AK16" s="331">
        <f t="shared" si="5"/>
        <v>0</v>
      </c>
      <c r="AL16" s="331">
        <f t="shared" si="5"/>
        <v>0</v>
      </c>
      <c r="AM16" s="331">
        <f t="shared" si="5"/>
        <v>0</v>
      </c>
      <c r="AN16" s="331">
        <f t="shared" si="5"/>
        <v>0</v>
      </c>
      <c r="AO16" s="331">
        <f t="shared" si="5"/>
        <v>0</v>
      </c>
    </row>
    <row r="17" spans="2:41"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</row>
    <row r="18" spans="2:41">
      <c r="B18" s="71" t="s">
        <v>328</v>
      </c>
      <c r="F18" s="457"/>
      <c r="G18" s="457"/>
      <c r="H18" s="457"/>
      <c r="I18" s="457"/>
      <c r="J18" s="457"/>
      <c r="K18" s="457"/>
      <c r="L18" s="457"/>
      <c r="M18" s="457"/>
      <c r="N18" s="457">
        <v>50</v>
      </c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7"/>
      <c r="AL18" s="457"/>
      <c r="AM18" s="457"/>
      <c r="AN18" s="457"/>
      <c r="AO18" s="457"/>
    </row>
    <row r="19" spans="2:41">
      <c r="B19" s="71" t="s">
        <v>329</v>
      </c>
      <c r="F19" s="457"/>
      <c r="G19" s="457"/>
      <c r="H19" s="457"/>
      <c r="I19" s="457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7"/>
      <c r="AA19" s="457"/>
      <c r="AB19" s="457"/>
      <c r="AC19" s="457"/>
      <c r="AD19" s="457"/>
      <c r="AE19" s="457"/>
      <c r="AF19" s="457"/>
      <c r="AG19" s="457"/>
      <c r="AH19" s="457"/>
      <c r="AI19" s="457"/>
      <c r="AJ19" s="457"/>
      <c r="AK19" s="457"/>
      <c r="AL19" s="457"/>
      <c r="AM19" s="457"/>
      <c r="AN19" s="457"/>
      <c r="AO19" s="457"/>
    </row>
    <row r="20" spans="2:41">
      <c r="B20" s="71" t="s">
        <v>347</v>
      </c>
      <c r="F20" s="455"/>
      <c r="G20" s="455"/>
      <c r="H20" s="455"/>
      <c r="I20" s="455"/>
      <c r="J20" s="455"/>
      <c r="K20" s="455"/>
      <c r="L20" s="455"/>
      <c r="M20" s="455"/>
      <c r="N20" s="45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  <c r="AH20" s="455"/>
      <c r="AI20" s="455"/>
      <c r="AJ20" s="455"/>
      <c r="AK20" s="455"/>
      <c r="AL20" s="455"/>
      <c r="AM20" s="455"/>
      <c r="AN20" s="455"/>
      <c r="AO20" s="455"/>
    </row>
    <row r="21" spans="2:41">
      <c r="B21" s="7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</row>
    <row r="22" spans="2:41">
      <c r="B22" s="71" t="s">
        <v>403</v>
      </c>
      <c r="F22" s="457"/>
      <c r="G22" s="457"/>
      <c r="H22" s="457"/>
      <c r="I22" s="457"/>
      <c r="J22" s="457"/>
      <c r="K22" s="457"/>
      <c r="L22" s="457"/>
      <c r="M22" s="457"/>
      <c r="N22" s="457"/>
      <c r="O22" s="457"/>
      <c r="P22" s="457"/>
      <c r="Q22" s="457"/>
      <c r="R22" s="457"/>
      <c r="S22" s="457"/>
      <c r="T22" s="457"/>
      <c r="U22" s="457"/>
      <c r="V22" s="457"/>
      <c r="W22" s="457"/>
      <c r="X22" s="457"/>
      <c r="Y22" s="457"/>
      <c r="Z22" s="457"/>
      <c r="AA22" s="457"/>
      <c r="AB22" s="457"/>
      <c r="AC22" s="457"/>
      <c r="AD22" s="457"/>
      <c r="AE22" s="457"/>
      <c r="AF22" s="457"/>
      <c r="AG22" s="457"/>
      <c r="AH22" s="457"/>
      <c r="AI22" s="457"/>
      <c r="AJ22" s="457"/>
      <c r="AK22" s="457"/>
      <c r="AL22" s="457"/>
      <c r="AM22" s="457"/>
      <c r="AN22" s="457"/>
      <c r="AO22" s="457"/>
    </row>
    <row r="23" spans="2:41">
      <c r="B23" s="71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2:41">
      <c r="B24" s="7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</row>
    <row r="25" spans="2:41" ht="16" thickBot="1">
      <c r="B25" s="341" t="s">
        <v>251</v>
      </c>
      <c r="C25" s="342"/>
      <c r="D25" s="342"/>
      <c r="E25" s="342"/>
      <c r="F25" s="344">
        <f>F3</f>
        <v>46053</v>
      </c>
      <c r="G25" s="344">
        <f t="shared" ref="G25:Q25" si="6">G3</f>
        <v>46054</v>
      </c>
      <c r="H25" s="344">
        <f t="shared" si="6"/>
        <v>46082</v>
      </c>
      <c r="I25" s="344">
        <f t="shared" si="6"/>
        <v>46113</v>
      </c>
      <c r="J25" s="344">
        <f t="shared" si="6"/>
        <v>46143</v>
      </c>
      <c r="K25" s="344">
        <f t="shared" si="6"/>
        <v>46174</v>
      </c>
      <c r="L25" s="344">
        <f t="shared" si="6"/>
        <v>46204</v>
      </c>
      <c r="M25" s="344">
        <f t="shared" si="6"/>
        <v>46235</v>
      </c>
      <c r="N25" s="344">
        <f t="shared" si="6"/>
        <v>46266</v>
      </c>
      <c r="O25" s="344">
        <f t="shared" si="6"/>
        <v>46296</v>
      </c>
      <c r="P25" s="344">
        <f t="shared" si="6"/>
        <v>46327</v>
      </c>
      <c r="Q25" s="344">
        <f t="shared" si="6"/>
        <v>46357</v>
      </c>
      <c r="R25" s="344">
        <f t="shared" ref="R25:AO25" si="7">R3</f>
        <v>46388</v>
      </c>
      <c r="S25" s="344">
        <f t="shared" si="7"/>
        <v>46419</v>
      </c>
      <c r="T25" s="344">
        <f t="shared" si="7"/>
        <v>46447</v>
      </c>
      <c r="U25" s="344">
        <f t="shared" si="7"/>
        <v>46478</v>
      </c>
      <c r="V25" s="344">
        <f t="shared" si="7"/>
        <v>46508</v>
      </c>
      <c r="W25" s="344">
        <f t="shared" si="7"/>
        <v>46539</v>
      </c>
      <c r="X25" s="344">
        <f t="shared" si="7"/>
        <v>46569</v>
      </c>
      <c r="Y25" s="344">
        <f t="shared" si="7"/>
        <v>46600</v>
      </c>
      <c r="Z25" s="344">
        <f t="shared" si="7"/>
        <v>46631</v>
      </c>
      <c r="AA25" s="344">
        <f t="shared" si="7"/>
        <v>46661</v>
      </c>
      <c r="AB25" s="344">
        <f t="shared" si="7"/>
        <v>46692</v>
      </c>
      <c r="AC25" s="344">
        <f t="shared" si="7"/>
        <v>46722</v>
      </c>
      <c r="AD25" s="344">
        <f t="shared" si="7"/>
        <v>46753</v>
      </c>
      <c r="AE25" s="344">
        <f t="shared" si="7"/>
        <v>46784</v>
      </c>
      <c r="AF25" s="344">
        <f t="shared" si="7"/>
        <v>46813</v>
      </c>
      <c r="AG25" s="344">
        <f t="shared" si="7"/>
        <v>46844</v>
      </c>
      <c r="AH25" s="344">
        <f t="shared" si="7"/>
        <v>46874</v>
      </c>
      <c r="AI25" s="344">
        <f t="shared" si="7"/>
        <v>46905</v>
      </c>
      <c r="AJ25" s="344">
        <f t="shared" si="7"/>
        <v>46935</v>
      </c>
      <c r="AK25" s="344">
        <f t="shared" si="7"/>
        <v>46966</v>
      </c>
      <c r="AL25" s="344">
        <f t="shared" si="7"/>
        <v>46997</v>
      </c>
      <c r="AM25" s="344">
        <f t="shared" si="7"/>
        <v>47027</v>
      </c>
      <c r="AN25" s="344">
        <f t="shared" si="7"/>
        <v>47058</v>
      </c>
      <c r="AO25" s="344">
        <f t="shared" si="7"/>
        <v>47088</v>
      </c>
    </row>
    <row r="26" spans="2:41">
      <c r="B26" s="71"/>
      <c r="H26" s="128"/>
    </row>
    <row r="27" spans="2:41">
      <c r="B27" s="130" t="s">
        <v>15</v>
      </c>
      <c r="F27" s="474">
        <f>E9</f>
        <v>400</v>
      </c>
      <c r="G27" s="454">
        <f>+F27+G8</f>
        <v>400</v>
      </c>
      <c r="H27" s="454">
        <f>+G27+H8</f>
        <v>400</v>
      </c>
      <c r="I27" s="454">
        <f>+H27+I8</f>
        <v>400</v>
      </c>
      <c r="J27" s="454">
        <f t="shared" ref="J27:Q27" si="8">+I27+J8</f>
        <v>400</v>
      </c>
      <c r="K27" s="454">
        <f>+J27+K8</f>
        <v>400</v>
      </c>
      <c r="L27" s="454">
        <f t="shared" si="8"/>
        <v>400</v>
      </c>
      <c r="M27" s="454">
        <f>+L27+M8</f>
        <v>400</v>
      </c>
      <c r="N27" s="454">
        <f>+M27+N8</f>
        <v>400</v>
      </c>
      <c r="O27" s="454">
        <f t="shared" si="8"/>
        <v>400</v>
      </c>
      <c r="P27" s="454">
        <f t="shared" si="8"/>
        <v>400</v>
      </c>
      <c r="Q27" s="454">
        <f t="shared" si="8"/>
        <v>400</v>
      </c>
      <c r="R27" s="454">
        <f t="shared" ref="R27" si="9">+Q27+R8</f>
        <v>400</v>
      </c>
      <c r="S27" s="454">
        <f t="shared" ref="S27" si="10">+R27+S8</f>
        <v>400</v>
      </c>
      <c r="T27" s="454">
        <f t="shared" ref="T27" si="11">+S27+T8</f>
        <v>400</v>
      </c>
      <c r="U27" s="454">
        <f t="shared" ref="U27" si="12">+T27+U8</f>
        <v>400</v>
      </c>
      <c r="V27" s="454">
        <f t="shared" ref="V27" si="13">+U27+V8</f>
        <v>400</v>
      </c>
      <c r="W27" s="454">
        <f t="shared" ref="W27" si="14">+V27+W8</f>
        <v>400</v>
      </c>
      <c r="X27" s="454">
        <f t="shared" ref="X27" si="15">+W27+X8</f>
        <v>400</v>
      </c>
      <c r="Y27" s="454">
        <f t="shared" ref="Y27" si="16">+X27+Y8</f>
        <v>400</v>
      </c>
      <c r="Z27" s="454">
        <f t="shared" ref="Z27" si="17">+Y27+Z8</f>
        <v>400</v>
      </c>
      <c r="AA27" s="454">
        <f t="shared" ref="AA27" si="18">+Z27+AA8</f>
        <v>400</v>
      </c>
      <c r="AB27" s="454">
        <f t="shared" ref="AB27" si="19">+AA27+AB8</f>
        <v>400</v>
      </c>
      <c r="AC27" s="454">
        <f t="shared" ref="AC27" si="20">+AB27+AC8</f>
        <v>400</v>
      </c>
      <c r="AD27" s="454">
        <f t="shared" ref="AD27" si="21">+AC27+AD8</f>
        <v>400</v>
      </c>
      <c r="AE27" s="454">
        <f t="shared" ref="AE27" si="22">+AD27+AE8</f>
        <v>400</v>
      </c>
      <c r="AF27" s="454">
        <f t="shared" ref="AF27" si="23">+AE27+AF8</f>
        <v>400</v>
      </c>
      <c r="AG27" s="454">
        <f t="shared" ref="AG27" si="24">+AF27+AG8</f>
        <v>400</v>
      </c>
      <c r="AH27" s="454">
        <f t="shared" ref="AH27" si="25">+AG27+AH8</f>
        <v>400</v>
      </c>
      <c r="AI27" s="454">
        <f t="shared" ref="AI27" si="26">+AH27+AI8</f>
        <v>400</v>
      </c>
      <c r="AJ27" s="454">
        <f t="shared" ref="AJ27" si="27">+AI27+AJ8</f>
        <v>400</v>
      </c>
      <c r="AK27" s="454">
        <f t="shared" ref="AK27" si="28">+AJ27+AK8</f>
        <v>400</v>
      </c>
      <c r="AL27" s="454">
        <f t="shared" ref="AL27" si="29">+AK27+AL8</f>
        <v>400</v>
      </c>
      <c r="AM27" s="454">
        <f t="shared" ref="AM27" si="30">+AL27+AM8</f>
        <v>400</v>
      </c>
      <c r="AN27" s="454">
        <f t="shared" ref="AN27" si="31">+AM27+AN8</f>
        <v>400</v>
      </c>
      <c r="AO27" s="454">
        <f t="shared" ref="AO27" si="32">+AN27+AO8</f>
        <v>400</v>
      </c>
    </row>
    <row r="28" spans="2:41">
      <c r="B28" s="72" t="s">
        <v>75</v>
      </c>
      <c r="C28" s="72"/>
      <c r="D28" s="72"/>
      <c r="E28" s="72"/>
      <c r="F28" s="475">
        <f>E9</f>
        <v>400</v>
      </c>
      <c r="G28" s="455">
        <f t="shared" ref="G28:L28" si="33">F28</f>
        <v>400</v>
      </c>
      <c r="H28" s="455">
        <f t="shared" si="33"/>
        <v>400</v>
      </c>
      <c r="I28" s="455">
        <f t="shared" si="33"/>
        <v>400</v>
      </c>
      <c r="J28" s="455">
        <f t="shared" si="33"/>
        <v>400</v>
      </c>
      <c r="K28" s="455">
        <f t="shared" si="33"/>
        <v>400</v>
      </c>
      <c r="L28" s="455">
        <f t="shared" si="33"/>
        <v>400</v>
      </c>
      <c r="M28" s="455">
        <f t="shared" ref="M28:Q28" si="34">L28</f>
        <v>400</v>
      </c>
      <c r="N28" s="455">
        <f t="shared" si="34"/>
        <v>400</v>
      </c>
      <c r="O28" s="455">
        <f t="shared" si="34"/>
        <v>400</v>
      </c>
      <c r="P28" s="455">
        <f t="shared" si="34"/>
        <v>400</v>
      </c>
      <c r="Q28" s="455">
        <f t="shared" si="34"/>
        <v>400</v>
      </c>
      <c r="R28" s="455">
        <f t="shared" ref="R28" si="35">Q28</f>
        <v>400</v>
      </c>
      <c r="S28" s="455">
        <f t="shared" ref="S28" si="36">R28</f>
        <v>400</v>
      </c>
      <c r="T28" s="455">
        <f t="shared" ref="T28" si="37">S28</f>
        <v>400</v>
      </c>
      <c r="U28" s="455">
        <f t="shared" ref="U28" si="38">T28</f>
        <v>400</v>
      </c>
      <c r="V28" s="455">
        <f t="shared" ref="V28" si="39">U28</f>
        <v>400</v>
      </c>
      <c r="W28" s="455">
        <f t="shared" ref="W28" si="40">V28</f>
        <v>400</v>
      </c>
      <c r="X28" s="455">
        <f t="shared" ref="X28" si="41">W28</f>
        <v>400</v>
      </c>
      <c r="Y28" s="455">
        <f t="shared" ref="Y28" si="42">X28</f>
        <v>400</v>
      </c>
      <c r="Z28" s="455">
        <f t="shared" ref="Z28" si="43">Y28</f>
        <v>400</v>
      </c>
      <c r="AA28" s="455">
        <f t="shared" ref="AA28" si="44">Z28</f>
        <v>400</v>
      </c>
      <c r="AB28" s="455">
        <f t="shared" ref="AB28" si="45">AA28</f>
        <v>400</v>
      </c>
      <c r="AC28" s="455">
        <f t="shared" ref="AC28" si="46">AB28</f>
        <v>400</v>
      </c>
      <c r="AD28" s="455">
        <f t="shared" ref="AD28" si="47">AC28</f>
        <v>400</v>
      </c>
      <c r="AE28" s="455">
        <f t="shared" ref="AE28" si="48">AD28</f>
        <v>400</v>
      </c>
      <c r="AF28" s="455">
        <f t="shared" ref="AF28" si="49">AE28</f>
        <v>400</v>
      </c>
      <c r="AG28" s="455">
        <f t="shared" ref="AG28" si="50">AF28</f>
        <v>400</v>
      </c>
      <c r="AH28" s="455">
        <f t="shared" ref="AH28" si="51">AG28</f>
        <v>400</v>
      </c>
      <c r="AI28" s="455">
        <f t="shared" ref="AI28" si="52">AH28</f>
        <v>400</v>
      </c>
      <c r="AJ28" s="455">
        <f t="shared" ref="AJ28" si="53">AI28</f>
        <v>400</v>
      </c>
      <c r="AK28" s="455">
        <f t="shared" ref="AK28" si="54">AJ28</f>
        <v>400</v>
      </c>
      <c r="AL28" s="455">
        <f t="shared" ref="AL28" si="55">AK28</f>
        <v>400</v>
      </c>
      <c r="AM28" s="455">
        <f t="shared" ref="AM28" si="56">AL28</f>
        <v>400</v>
      </c>
      <c r="AN28" s="455">
        <f t="shared" ref="AN28" si="57">AM28</f>
        <v>400</v>
      </c>
      <c r="AO28" s="455">
        <f t="shared" ref="AO28" si="58">AN28</f>
        <v>400</v>
      </c>
    </row>
    <row r="29" spans="2:41">
      <c r="F29" s="73"/>
      <c r="G29" s="73"/>
      <c r="H29" s="73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</row>
    <row r="30" spans="2:41">
      <c r="B30" s="130" t="s">
        <v>237</v>
      </c>
      <c r="F30" s="474">
        <f>E30 + F11</f>
        <v>350</v>
      </c>
      <c r="G30" s="474">
        <f t="shared" ref="G30:Q30" si="59">F30 + G11</f>
        <v>350</v>
      </c>
      <c r="H30" s="474">
        <f t="shared" si="59"/>
        <v>350</v>
      </c>
      <c r="I30" s="474">
        <f t="shared" si="59"/>
        <v>350</v>
      </c>
      <c r="J30" s="474">
        <f t="shared" si="59"/>
        <v>350</v>
      </c>
      <c r="K30" s="474">
        <f t="shared" si="59"/>
        <v>350</v>
      </c>
      <c r="L30" s="474">
        <f t="shared" si="59"/>
        <v>350</v>
      </c>
      <c r="M30" s="474">
        <f t="shared" si="59"/>
        <v>350</v>
      </c>
      <c r="N30" s="474">
        <f t="shared" si="59"/>
        <v>350</v>
      </c>
      <c r="O30" s="474">
        <f t="shared" si="59"/>
        <v>350</v>
      </c>
      <c r="P30" s="474">
        <f t="shared" si="59"/>
        <v>350</v>
      </c>
      <c r="Q30" s="474">
        <f t="shared" si="59"/>
        <v>350</v>
      </c>
      <c r="R30" s="474">
        <f t="shared" ref="R30:R32" si="60">Q30 + R11</f>
        <v>350</v>
      </c>
      <c r="S30" s="474">
        <f>R30 + S11</f>
        <v>10350</v>
      </c>
      <c r="T30" s="474">
        <f>S30 + T11</f>
        <v>10350</v>
      </c>
      <c r="U30" s="474">
        <f t="shared" ref="U30:U32" si="61">T30 + U11</f>
        <v>10350</v>
      </c>
      <c r="V30" s="474">
        <f>U30 + V11</f>
        <v>10350</v>
      </c>
      <c r="W30" s="474">
        <f t="shared" ref="W30:W32" si="62">V30 + W11</f>
        <v>10350</v>
      </c>
      <c r="X30" s="474">
        <f t="shared" ref="X30:X32" si="63">W30 + X11</f>
        <v>10350</v>
      </c>
      <c r="Y30" s="474">
        <f t="shared" ref="Y30:Y32" si="64">X30 + Y11</f>
        <v>10350</v>
      </c>
      <c r="Z30" s="474">
        <f t="shared" ref="Z30:Z32" si="65">Y30 + Z11</f>
        <v>10350</v>
      </c>
      <c r="AA30" s="474">
        <f t="shared" ref="AA30:AA32" si="66">Z30 + AA11</f>
        <v>10350</v>
      </c>
      <c r="AB30" s="474">
        <f t="shared" ref="AB30:AB32" si="67">AA30 + AB11</f>
        <v>10350</v>
      </c>
      <c r="AC30" s="474">
        <f t="shared" ref="AC30:AC32" si="68">AB30 + AC11</f>
        <v>10350</v>
      </c>
      <c r="AD30" s="474">
        <f t="shared" ref="AD30:AD32" si="69">AC30 + AD11</f>
        <v>15350</v>
      </c>
      <c r="AE30" s="474">
        <f t="shared" ref="AE30:AE32" si="70">AD30 + AE11</f>
        <v>15350</v>
      </c>
      <c r="AF30" s="474">
        <f t="shared" ref="AF30:AF32" si="71">AE30 + AF11</f>
        <v>15350</v>
      </c>
      <c r="AG30" s="474">
        <f t="shared" ref="AG30:AG32" si="72">AF30 + AG11</f>
        <v>15350</v>
      </c>
      <c r="AH30" s="474">
        <f t="shared" ref="AH30:AH32" si="73">AG30 + AH11</f>
        <v>15350</v>
      </c>
      <c r="AI30" s="474">
        <f t="shared" ref="AI30:AI32" si="74">AH30 + AI11</f>
        <v>15350</v>
      </c>
      <c r="AJ30" s="474">
        <f t="shared" ref="AJ30:AJ32" si="75">AI30 + AJ11</f>
        <v>15350</v>
      </c>
      <c r="AK30" s="474">
        <f t="shared" ref="AK30:AK32" si="76">AJ30 + AK11</f>
        <v>15350</v>
      </c>
      <c r="AL30" s="474">
        <f t="shared" ref="AL30:AL32" si="77">AK30 + AL11</f>
        <v>15350</v>
      </c>
      <c r="AM30" s="474">
        <f t="shared" ref="AM30:AM32" si="78">AL30 + AM11</f>
        <v>15350</v>
      </c>
      <c r="AN30" s="474">
        <f t="shared" ref="AN30:AN32" si="79">AM30 + AN11</f>
        <v>15350</v>
      </c>
      <c r="AO30" s="474">
        <f t="shared" ref="AO30:AO32" si="80">AN30 + AO11</f>
        <v>15350</v>
      </c>
    </row>
    <row r="31" spans="2:41">
      <c r="B31" s="130" t="s">
        <v>238</v>
      </c>
      <c r="F31" s="474">
        <f>E31 + F12</f>
        <v>100</v>
      </c>
      <c r="G31" s="474">
        <f t="shared" ref="G31:Q31" si="81">F31 + G12</f>
        <v>100</v>
      </c>
      <c r="H31" s="474">
        <f t="shared" si="81"/>
        <v>100</v>
      </c>
      <c r="I31" s="474">
        <f t="shared" si="81"/>
        <v>100</v>
      </c>
      <c r="J31" s="474">
        <f t="shared" si="81"/>
        <v>100</v>
      </c>
      <c r="K31" s="474">
        <f t="shared" si="81"/>
        <v>100</v>
      </c>
      <c r="L31" s="474">
        <f>K31 + L12</f>
        <v>100</v>
      </c>
      <c r="M31" s="474">
        <f t="shared" si="81"/>
        <v>100</v>
      </c>
      <c r="N31" s="474">
        <f t="shared" si="81"/>
        <v>100</v>
      </c>
      <c r="O31" s="474">
        <f t="shared" si="81"/>
        <v>100</v>
      </c>
      <c r="P31" s="474">
        <f t="shared" si="81"/>
        <v>100</v>
      </c>
      <c r="Q31" s="474">
        <f t="shared" si="81"/>
        <v>100</v>
      </c>
      <c r="R31" s="474">
        <f t="shared" si="60"/>
        <v>100</v>
      </c>
      <c r="S31" s="474">
        <f t="shared" ref="S31:S32" si="82">R31 + S12</f>
        <v>5100</v>
      </c>
      <c r="T31" s="474">
        <f t="shared" ref="T31:T32" si="83">S31 + T12</f>
        <v>5100</v>
      </c>
      <c r="U31" s="474">
        <f t="shared" si="61"/>
        <v>5100</v>
      </c>
      <c r="V31" s="474">
        <f t="shared" ref="V31:V32" si="84">U31 + V12</f>
        <v>5100</v>
      </c>
      <c r="W31" s="474">
        <f t="shared" si="62"/>
        <v>5100</v>
      </c>
      <c r="X31" s="474">
        <f t="shared" si="63"/>
        <v>5100</v>
      </c>
      <c r="Y31" s="474">
        <f t="shared" si="64"/>
        <v>5100</v>
      </c>
      <c r="Z31" s="474">
        <f t="shared" si="65"/>
        <v>5100</v>
      </c>
      <c r="AA31" s="474">
        <f t="shared" si="66"/>
        <v>5100</v>
      </c>
      <c r="AB31" s="474">
        <f t="shared" si="67"/>
        <v>5100</v>
      </c>
      <c r="AC31" s="474">
        <f t="shared" si="68"/>
        <v>5100</v>
      </c>
      <c r="AD31" s="474">
        <f t="shared" si="69"/>
        <v>55100</v>
      </c>
      <c r="AE31" s="474">
        <f t="shared" si="70"/>
        <v>55100</v>
      </c>
      <c r="AF31" s="474">
        <f t="shared" si="71"/>
        <v>55100</v>
      </c>
      <c r="AG31" s="474">
        <f t="shared" si="72"/>
        <v>55100</v>
      </c>
      <c r="AH31" s="474">
        <f t="shared" si="73"/>
        <v>55100</v>
      </c>
      <c r="AI31" s="474">
        <f t="shared" si="74"/>
        <v>55100</v>
      </c>
      <c r="AJ31" s="474">
        <f t="shared" si="75"/>
        <v>55100</v>
      </c>
      <c r="AK31" s="474">
        <f t="shared" si="76"/>
        <v>55100</v>
      </c>
      <c r="AL31" s="474">
        <f t="shared" si="77"/>
        <v>55100</v>
      </c>
      <c r="AM31" s="474">
        <f t="shared" si="78"/>
        <v>55100</v>
      </c>
      <c r="AN31" s="474">
        <f t="shared" si="79"/>
        <v>55100</v>
      </c>
      <c r="AO31" s="474">
        <f t="shared" si="80"/>
        <v>55100</v>
      </c>
    </row>
    <row r="32" spans="2:41">
      <c r="B32" s="130" t="s">
        <v>239</v>
      </c>
      <c r="F32" s="474">
        <f>E32 + F13</f>
        <v>120</v>
      </c>
      <c r="G32" s="474">
        <f t="shared" ref="G32:Q32" si="85">F32 + G13</f>
        <v>120</v>
      </c>
      <c r="H32" s="474">
        <f t="shared" si="85"/>
        <v>120</v>
      </c>
      <c r="I32" s="474">
        <f t="shared" si="85"/>
        <v>120</v>
      </c>
      <c r="J32" s="474">
        <f t="shared" si="85"/>
        <v>120</v>
      </c>
      <c r="K32" s="474">
        <f t="shared" si="85"/>
        <v>120</v>
      </c>
      <c r="L32" s="474">
        <f t="shared" si="85"/>
        <v>120</v>
      </c>
      <c r="M32" s="474">
        <f t="shared" si="85"/>
        <v>120</v>
      </c>
      <c r="N32" s="474">
        <f t="shared" si="85"/>
        <v>120</v>
      </c>
      <c r="O32" s="474">
        <f t="shared" si="85"/>
        <v>120</v>
      </c>
      <c r="P32" s="474">
        <f t="shared" si="85"/>
        <v>120</v>
      </c>
      <c r="Q32" s="474">
        <f t="shared" si="85"/>
        <v>120</v>
      </c>
      <c r="R32" s="474">
        <f t="shared" si="60"/>
        <v>120</v>
      </c>
      <c r="S32" s="474">
        <f t="shared" si="82"/>
        <v>2620</v>
      </c>
      <c r="T32" s="474">
        <f t="shared" si="83"/>
        <v>2620</v>
      </c>
      <c r="U32" s="474">
        <f t="shared" si="61"/>
        <v>2620</v>
      </c>
      <c r="V32" s="474">
        <f t="shared" si="84"/>
        <v>2620</v>
      </c>
      <c r="W32" s="474">
        <f t="shared" si="62"/>
        <v>2620</v>
      </c>
      <c r="X32" s="474">
        <f t="shared" si="63"/>
        <v>2620</v>
      </c>
      <c r="Y32" s="474">
        <f t="shared" si="64"/>
        <v>2620</v>
      </c>
      <c r="Z32" s="474">
        <f t="shared" si="65"/>
        <v>2620</v>
      </c>
      <c r="AA32" s="474">
        <f t="shared" si="66"/>
        <v>2620</v>
      </c>
      <c r="AB32" s="474">
        <f t="shared" si="67"/>
        <v>2620</v>
      </c>
      <c r="AC32" s="474">
        <f t="shared" si="68"/>
        <v>2620</v>
      </c>
      <c r="AD32" s="474">
        <f t="shared" si="69"/>
        <v>27620</v>
      </c>
      <c r="AE32" s="474">
        <f t="shared" si="70"/>
        <v>27620</v>
      </c>
      <c r="AF32" s="474">
        <f t="shared" si="71"/>
        <v>27620</v>
      </c>
      <c r="AG32" s="474">
        <f t="shared" si="72"/>
        <v>27620</v>
      </c>
      <c r="AH32" s="474">
        <f t="shared" si="73"/>
        <v>27620</v>
      </c>
      <c r="AI32" s="474">
        <f t="shared" si="74"/>
        <v>27620</v>
      </c>
      <c r="AJ32" s="474">
        <f t="shared" si="75"/>
        <v>27620</v>
      </c>
      <c r="AK32" s="474">
        <f t="shared" si="76"/>
        <v>27620</v>
      </c>
      <c r="AL32" s="474">
        <f t="shared" si="77"/>
        <v>27620</v>
      </c>
      <c r="AM32" s="474">
        <f t="shared" si="78"/>
        <v>27620</v>
      </c>
      <c r="AN32" s="474">
        <f t="shared" si="79"/>
        <v>27620</v>
      </c>
      <c r="AO32" s="474">
        <f t="shared" si="80"/>
        <v>27620</v>
      </c>
    </row>
    <row r="33" spans="2:41">
      <c r="B33" s="72" t="s">
        <v>76</v>
      </c>
      <c r="C33" s="72"/>
      <c r="D33" s="72"/>
      <c r="E33" s="72"/>
      <c r="F33" s="455">
        <f>SUM(F30:F32)</f>
        <v>570</v>
      </c>
      <c r="G33" s="455">
        <f>SUM(G30:G32)</f>
        <v>570</v>
      </c>
      <c r="H33" s="455">
        <f>SUM(H30:H32)</f>
        <v>570</v>
      </c>
      <c r="I33" s="455">
        <f>SUM(I30:I32)</f>
        <v>570</v>
      </c>
      <c r="J33" s="455">
        <f>SUM(J30:J32)</f>
        <v>570</v>
      </c>
      <c r="K33" s="455">
        <f t="shared" ref="K33:P33" si="86">SUM(K30:K32)</f>
        <v>570</v>
      </c>
      <c r="L33" s="455">
        <f t="shared" si="86"/>
        <v>570</v>
      </c>
      <c r="M33" s="455">
        <f t="shared" si="86"/>
        <v>570</v>
      </c>
      <c r="N33" s="455">
        <f t="shared" si="86"/>
        <v>570</v>
      </c>
      <c r="O33" s="455">
        <f t="shared" si="86"/>
        <v>570</v>
      </c>
      <c r="P33" s="455">
        <f t="shared" si="86"/>
        <v>570</v>
      </c>
      <c r="Q33" s="455">
        <f>SUM(Q30:Q32)</f>
        <v>570</v>
      </c>
      <c r="R33" s="455">
        <f t="shared" ref="R33:AO33" si="87">SUM(R30:R32)</f>
        <v>570</v>
      </c>
      <c r="S33" s="455">
        <f t="shared" si="87"/>
        <v>18070</v>
      </c>
      <c r="T33" s="455">
        <f t="shared" si="87"/>
        <v>18070</v>
      </c>
      <c r="U33" s="455">
        <f t="shared" si="87"/>
        <v>18070</v>
      </c>
      <c r="V33" s="455">
        <f t="shared" si="87"/>
        <v>18070</v>
      </c>
      <c r="W33" s="455">
        <f t="shared" si="87"/>
        <v>18070</v>
      </c>
      <c r="X33" s="455">
        <f t="shared" si="87"/>
        <v>18070</v>
      </c>
      <c r="Y33" s="455">
        <f t="shared" si="87"/>
        <v>18070</v>
      </c>
      <c r="Z33" s="455">
        <f t="shared" si="87"/>
        <v>18070</v>
      </c>
      <c r="AA33" s="455">
        <f t="shared" si="87"/>
        <v>18070</v>
      </c>
      <c r="AB33" s="455">
        <f t="shared" si="87"/>
        <v>18070</v>
      </c>
      <c r="AC33" s="455">
        <f t="shared" si="87"/>
        <v>18070</v>
      </c>
      <c r="AD33" s="455">
        <f t="shared" si="87"/>
        <v>98070</v>
      </c>
      <c r="AE33" s="455">
        <f t="shared" si="87"/>
        <v>98070</v>
      </c>
      <c r="AF33" s="455">
        <f t="shared" si="87"/>
        <v>98070</v>
      </c>
      <c r="AG33" s="455">
        <f t="shared" si="87"/>
        <v>98070</v>
      </c>
      <c r="AH33" s="455">
        <f t="shared" si="87"/>
        <v>98070</v>
      </c>
      <c r="AI33" s="455">
        <f t="shared" si="87"/>
        <v>98070</v>
      </c>
      <c r="AJ33" s="455">
        <f t="shared" si="87"/>
        <v>98070</v>
      </c>
      <c r="AK33" s="455">
        <f t="shared" si="87"/>
        <v>98070</v>
      </c>
      <c r="AL33" s="455">
        <f t="shared" si="87"/>
        <v>98070</v>
      </c>
      <c r="AM33" s="455">
        <f t="shared" si="87"/>
        <v>98070</v>
      </c>
      <c r="AN33" s="455">
        <f t="shared" si="87"/>
        <v>98070</v>
      </c>
      <c r="AO33" s="455">
        <f t="shared" si="87"/>
        <v>98070</v>
      </c>
    </row>
    <row r="34" spans="2:41"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</row>
    <row r="35" spans="2:41">
      <c r="B35" s="301" t="s">
        <v>77</v>
      </c>
      <c r="C35" s="301"/>
      <c r="D35" s="301"/>
      <c r="E35" s="301"/>
      <c r="F35" s="331">
        <f>+F33+F28</f>
        <v>970</v>
      </c>
      <c r="G35" s="331">
        <f t="shared" ref="G35:P35" si="88">+G33+G28</f>
        <v>970</v>
      </c>
      <c r="H35" s="331">
        <f t="shared" si="88"/>
        <v>970</v>
      </c>
      <c r="I35" s="331">
        <f t="shared" si="88"/>
        <v>970</v>
      </c>
      <c r="J35" s="331">
        <f t="shared" si="88"/>
        <v>970</v>
      </c>
      <c r="K35" s="331">
        <f t="shared" si="88"/>
        <v>970</v>
      </c>
      <c r="L35" s="331">
        <f t="shared" si="88"/>
        <v>970</v>
      </c>
      <c r="M35" s="331">
        <f t="shared" si="88"/>
        <v>970</v>
      </c>
      <c r="N35" s="331">
        <f t="shared" si="88"/>
        <v>970</v>
      </c>
      <c r="O35" s="331">
        <f t="shared" si="88"/>
        <v>970</v>
      </c>
      <c r="P35" s="331">
        <f t="shared" si="88"/>
        <v>970</v>
      </c>
      <c r="Q35" s="331">
        <f>+Q33+Q28</f>
        <v>970</v>
      </c>
      <c r="R35" s="331">
        <f t="shared" ref="R35:AO35" si="89">+R33+R28</f>
        <v>970</v>
      </c>
      <c r="S35" s="331">
        <f>+S33+S28</f>
        <v>18470</v>
      </c>
      <c r="T35" s="331">
        <f t="shared" si="89"/>
        <v>18470</v>
      </c>
      <c r="U35" s="331">
        <f t="shared" si="89"/>
        <v>18470</v>
      </c>
      <c r="V35" s="331">
        <f t="shared" si="89"/>
        <v>18470</v>
      </c>
      <c r="W35" s="331">
        <f t="shared" si="89"/>
        <v>18470</v>
      </c>
      <c r="X35" s="331">
        <f t="shared" si="89"/>
        <v>18470</v>
      </c>
      <c r="Y35" s="331">
        <f t="shared" si="89"/>
        <v>18470</v>
      </c>
      <c r="Z35" s="331">
        <f t="shared" si="89"/>
        <v>18470</v>
      </c>
      <c r="AA35" s="331">
        <f t="shared" si="89"/>
        <v>18470</v>
      </c>
      <c r="AB35" s="331">
        <f t="shared" si="89"/>
        <v>18470</v>
      </c>
      <c r="AC35" s="331">
        <f t="shared" si="89"/>
        <v>18470</v>
      </c>
      <c r="AD35" s="331">
        <f t="shared" si="89"/>
        <v>98470</v>
      </c>
      <c r="AE35" s="331">
        <f t="shared" si="89"/>
        <v>98470</v>
      </c>
      <c r="AF35" s="331">
        <f t="shared" si="89"/>
        <v>98470</v>
      </c>
      <c r="AG35" s="331">
        <f t="shared" si="89"/>
        <v>98470</v>
      </c>
      <c r="AH35" s="331">
        <f t="shared" si="89"/>
        <v>98470</v>
      </c>
      <c r="AI35" s="331">
        <f t="shared" si="89"/>
        <v>98470</v>
      </c>
      <c r="AJ35" s="331">
        <f t="shared" si="89"/>
        <v>98470</v>
      </c>
      <c r="AK35" s="331">
        <f t="shared" si="89"/>
        <v>98470</v>
      </c>
      <c r="AL35" s="331">
        <f t="shared" si="89"/>
        <v>98470</v>
      </c>
      <c r="AM35" s="331">
        <f t="shared" si="89"/>
        <v>98470</v>
      </c>
      <c r="AN35" s="331">
        <f t="shared" si="89"/>
        <v>98470</v>
      </c>
      <c r="AO35" s="331">
        <f t="shared" si="89"/>
        <v>98470</v>
      </c>
    </row>
    <row r="36" spans="2:41">
      <c r="B36" s="173"/>
      <c r="C36" s="173"/>
      <c r="D36" s="173"/>
      <c r="E36" s="173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</row>
    <row r="37" spans="2:41">
      <c r="B37" s="7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</row>
    <row r="38" spans="2:41" ht="16" thickBot="1">
      <c r="B38" s="341" t="s">
        <v>508</v>
      </c>
      <c r="C38" s="342"/>
      <c r="D38" s="342"/>
      <c r="E38" s="342"/>
      <c r="F38" s="344">
        <f>F25</f>
        <v>46053</v>
      </c>
      <c r="G38" s="344">
        <f t="shared" ref="G38:AO38" si="90">G25</f>
        <v>46054</v>
      </c>
      <c r="H38" s="344">
        <f t="shared" si="90"/>
        <v>46082</v>
      </c>
      <c r="I38" s="344">
        <f t="shared" si="90"/>
        <v>46113</v>
      </c>
      <c r="J38" s="344">
        <f t="shared" si="90"/>
        <v>46143</v>
      </c>
      <c r="K38" s="344">
        <f t="shared" si="90"/>
        <v>46174</v>
      </c>
      <c r="L38" s="344">
        <f t="shared" si="90"/>
        <v>46204</v>
      </c>
      <c r="M38" s="344">
        <f t="shared" si="90"/>
        <v>46235</v>
      </c>
      <c r="N38" s="344">
        <f t="shared" si="90"/>
        <v>46266</v>
      </c>
      <c r="O38" s="344">
        <f t="shared" si="90"/>
        <v>46296</v>
      </c>
      <c r="P38" s="344">
        <f t="shared" si="90"/>
        <v>46327</v>
      </c>
      <c r="Q38" s="344">
        <f t="shared" si="90"/>
        <v>46357</v>
      </c>
      <c r="R38" s="344">
        <f t="shared" si="90"/>
        <v>46388</v>
      </c>
      <c r="S38" s="344">
        <f t="shared" si="90"/>
        <v>46419</v>
      </c>
      <c r="T38" s="344">
        <f t="shared" si="90"/>
        <v>46447</v>
      </c>
      <c r="U38" s="344">
        <f t="shared" si="90"/>
        <v>46478</v>
      </c>
      <c r="V38" s="344">
        <f t="shared" si="90"/>
        <v>46508</v>
      </c>
      <c r="W38" s="344">
        <f t="shared" si="90"/>
        <v>46539</v>
      </c>
      <c r="X38" s="344">
        <f t="shared" si="90"/>
        <v>46569</v>
      </c>
      <c r="Y38" s="344">
        <f t="shared" si="90"/>
        <v>46600</v>
      </c>
      <c r="Z38" s="344">
        <f t="shared" si="90"/>
        <v>46631</v>
      </c>
      <c r="AA38" s="344">
        <f t="shared" si="90"/>
        <v>46661</v>
      </c>
      <c r="AB38" s="344">
        <f t="shared" si="90"/>
        <v>46692</v>
      </c>
      <c r="AC38" s="344">
        <f t="shared" si="90"/>
        <v>46722</v>
      </c>
      <c r="AD38" s="344">
        <f t="shared" si="90"/>
        <v>46753</v>
      </c>
      <c r="AE38" s="344">
        <f t="shared" si="90"/>
        <v>46784</v>
      </c>
      <c r="AF38" s="344">
        <f t="shared" si="90"/>
        <v>46813</v>
      </c>
      <c r="AG38" s="344">
        <f t="shared" si="90"/>
        <v>46844</v>
      </c>
      <c r="AH38" s="344">
        <f t="shared" si="90"/>
        <v>46874</v>
      </c>
      <c r="AI38" s="344">
        <f t="shared" si="90"/>
        <v>46905</v>
      </c>
      <c r="AJ38" s="344">
        <f t="shared" si="90"/>
        <v>46935</v>
      </c>
      <c r="AK38" s="344">
        <f t="shared" si="90"/>
        <v>46966</v>
      </c>
      <c r="AL38" s="344">
        <f t="shared" si="90"/>
        <v>46997</v>
      </c>
      <c r="AM38" s="344">
        <f t="shared" si="90"/>
        <v>47027</v>
      </c>
      <c r="AN38" s="344">
        <f t="shared" si="90"/>
        <v>47058</v>
      </c>
      <c r="AO38" s="344">
        <f t="shared" si="90"/>
        <v>47088</v>
      </c>
    </row>
    <row r="39" spans="2:41">
      <c r="B39" s="71"/>
      <c r="H39" s="128"/>
    </row>
    <row r="40" spans="2:41">
      <c r="B40" s="130" t="s">
        <v>15</v>
      </c>
      <c r="F40" s="474">
        <f>+F27/$C$8</f>
        <v>80</v>
      </c>
      <c r="G40" s="474">
        <f t="shared" ref="G40:Q40" si="91">+G27/$C$8</f>
        <v>80</v>
      </c>
      <c r="H40" s="474">
        <f t="shared" si="91"/>
        <v>80</v>
      </c>
      <c r="I40" s="474">
        <f t="shared" si="91"/>
        <v>80</v>
      </c>
      <c r="J40" s="474">
        <f t="shared" si="91"/>
        <v>80</v>
      </c>
      <c r="K40" s="474">
        <f t="shared" si="91"/>
        <v>80</v>
      </c>
      <c r="L40" s="474">
        <f t="shared" si="91"/>
        <v>80</v>
      </c>
      <c r="M40" s="474">
        <f t="shared" si="91"/>
        <v>80</v>
      </c>
      <c r="N40" s="474">
        <f t="shared" si="91"/>
        <v>80</v>
      </c>
      <c r="O40" s="474">
        <f t="shared" si="91"/>
        <v>80</v>
      </c>
      <c r="P40" s="474">
        <f t="shared" si="91"/>
        <v>80</v>
      </c>
      <c r="Q40" s="474">
        <f t="shared" si="91"/>
        <v>80</v>
      </c>
      <c r="R40" s="474">
        <f t="shared" ref="R40:AO40" si="92">+R27/$C$8</f>
        <v>80</v>
      </c>
      <c r="S40" s="474">
        <f t="shared" si="92"/>
        <v>80</v>
      </c>
      <c r="T40" s="474">
        <f t="shared" si="92"/>
        <v>80</v>
      </c>
      <c r="U40" s="474">
        <f t="shared" si="92"/>
        <v>80</v>
      </c>
      <c r="V40" s="474">
        <f t="shared" si="92"/>
        <v>80</v>
      </c>
      <c r="W40" s="474">
        <f t="shared" si="92"/>
        <v>80</v>
      </c>
      <c r="X40" s="474">
        <f t="shared" si="92"/>
        <v>80</v>
      </c>
      <c r="Y40" s="474">
        <f t="shared" si="92"/>
        <v>80</v>
      </c>
      <c r="Z40" s="474">
        <f t="shared" si="92"/>
        <v>80</v>
      </c>
      <c r="AA40" s="474">
        <f t="shared" si="92"/>
        <v>80</v>
      </c>
      <c r="AB40" s="474">
        <f t="shared" si="92"/>
        <v>80</v>
      </c>
      <c r="AC40" s="474">
        <f t="shared" si="92"/>
        <v>80</v>
      </c>
      <c r="AD40" s="474">
        <f t="shared" si="92"/>
        <v>80</v>
      </c>
      <c r="AE40" s="474">
        <f t="shared" si="92"/>
        <v>80</v>
      </c>
      <c r="AF40" s="474">
        <f t="shared" si="92"/>
        <v>80</v>
      </c>
      <c r="AG40" s="474">
        <f t="shared" si="92"/>
        <v>80</v>
      </c>
      <c r="AH40" s="474">
        <f t="shared" si="92"/>
        <v>80</v>
      </c>
      <c r="AI40" s="474">
        <f t="shared" si="92"/>
        <v>80</v>
      </c>
      <c r="AJ40" s="474">
        <f t="shared" si="92"/>
        <v>80</v>
      </c>
      <c r="AK40" s="474">
        <f t="shared" si="92"/>
        <v>80</v>
      </c>
      <c r="AL40" s="474">
        <f t="shared" si="92"/>
        <v>80</v>
      </c>
      <c r="AM40" s="474">
        <f t="shared" si="92"/>
        <v>80</v>
      </c>
      <c r="AN40" s="474">
        <f t="shared" si="92"/>
        <v>80</v>
      </c>
      <c r="AO40" s="474">
        <f t="shared" si="92"/>
        <v>80</v>
      </c>
    </row>
    <row r="41" spans="2:41">
      <c r="B41" s="57" t="s">
        <v>75</v>
      </c>
      <c r="C41" s="57"/>
      <c r="D41" s="57"/>
      <c r="E41" s="57"/>
      <c r="F41" s="475">
        <f>IF($E$9&gt;0, $E$9/($C$8*12), 0)</f>
        <v>6.666666666666667</v>
      </c>
      <c r="G41" s="475">
        <f t="shared" ref="G41:AO41" si="93">IF($E$9&gt;0, $E$9/($C$8*12), 0)</f>
        <v>6.666666666666667</v>
      </c>
      <c r="H41" s="475">
        <f t="shared" si="93"/>
        <v>6.666666666666667</v>
      </c>
      <c r="I41" s="475">
        <f t="shared" si="93"/>
        <v>6.666666666666667</v>
      </c>
      <c r="J41" s="475">
        <f t="shared" si="93"/>
        <v>6.666666666666667</v>
      </c>
      <c r="K41" s="475">
        <f t="shared" si="93"/>
        <v>6.666666666666667</v>
      </c>
      <c r="L41" s="475">
        <f t="shared" si="93"/>
        <v>6.666666666666667</v>
      </c>
      <c r="M41" s="475">
        <f t="shared" si="93"/>
        <v>6.666666666666667</v>
      </c>
      <c r="N41" s="475">
        <f t="shared" si="93"/>
        <v>6.666666666666667</v>
      </c>
      <c r="O41" s="475">
        <f t="shared" si="93"/>
        <v>6.666666666666667</v>
      </c>
      <c r="P41" s="475">
        <f t="shared" si="93"/>
        <v>6.666666666666667</v>
      </c>
      <c r="Q41" s="475">
        <f t="shared" si="93"/>
        <v>6.666666666666667</v>
      </c>
      <c r="R41" s="475">
        <f t="shared" si="93"/>
        <v>6.666666666666667</v>
      </c>
      <c r="S41" s="475">
        <f t="shared" si="93"/>
        <v>6.666666666666667</v>
      </c>
      <c r="T41" s="475">
        <f t="shared" si="93"/>
        <v>6.666666666666667</v>
      </c>
      <c r="U41" s="475">
        <f t="shared" si="93"/>
        <v>6.666666666666667</v>
      </c>
      <c r="V41" s="475">
        <f t="shared" si="93"/>
        <v>6.666666666666667</v>
      </c>
      <c r="W41" s="475">
        <f t="shared" si="93"/>
        <v>6.666666666666667</v>
      </c>
      <c r="X41" s="475">
        <f t="shared" si="93"/>
        <v>6.666666666666667</v>
      </c>
      <c r="Y41" s="475">
        <f t="shared" si="93"/>
        <v>6.666666666666667</v>
      </c>
      <c r="Z41" s="475">
        <f t="shared" si="93"/>
        <v>6.666666666666667</v>
      </c>
      <c r="AA41" s="475">
        <f t="shared" si="93"/>
        <v>6.666666666666667</v>
      </c>
      <c r="AB41" s="475">
        <f t="shared" si="93"/>
        <v>6.666666666666667</v>
      </c>
      <c r="AC41" s="475">
        <f t="shared" si="93"/>
        <v>6.666666666666667</v>
      </c>
      <c r="AD41" s="475">
        <f t="shared" si="93"/>
        <v>6.666666666666667</v>
      </c>
      <c r="AE41" s="475">
        <f t="shared" si="93"/>
        <v>6.666666666666667</v>
      </c>
      <c r="AF41" s="475">
        <f t="shared" si="93"/>
        <v>6.666666666666667</v>
      </c>
      <c r="AG41" s="475">
        <f t="shared" si="93"/>
        <v>6.666666666666667</v>
      </c>
      <c r="AH41" s="475">
        <f t="shared" si="93"/>
        <v>6.666666666666667</v>
      </c>
      <c r="AI41" s="475">
        <f t="shared" si="93"/>
        <v>6.666666666666667</v>
      </c>
      <c r="AJ41" s="475">
        <f t="shared" si="93"/>
        <v>6.666666666666667</v>
      </c>
      <c r="AK41" s="475">
        <f t="shared" si="93"/>
        <v>6.666666666666667</v>
      </c>
      <c r="AL41" s="475">
        <f t="shared" si="93"/>
        <v>6.666666666666667</v>
      </c>
      <c r="AM41" s="475">
        <f t="shared" si="93"/>
        <v>6.666666666666667</v>
      </c>
      <c r="AN41" s="475">
        <f t="shared" si="93"/>
        <v>6.666666666666667</v>
      </c>
      <c r="AO41" s="475">
        <f t="shared" si="93"/>
        <v>6.666666666666667</v>
      </c>
    </row>
    <row r="42" spans="2:41">
      <c r="F42" s="73"/>
      <c r="G42" s="73"/>
      <c r="H42" s="73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</row>
    <row r="43" spans="2:41">
      <c r="B43" s="130" t="s">
        <v>237</v>
      </c>
      <c r="F43" s="474">
        <f>MIN((F30/$C11)/12,(F30-E56))</f>
        <v>5.833333333333333</v>
      </c>
      <c r="G43" s="474">
        <f t="shared" ref="G43:Q43" si="94">MIN((G30/$C11)/12,(G30-F56))</f>
        <v>5.833333333333333</v>
      </c>
      <c r="H43" s="474">
        <f t="shared" si="94"/>
        <v>5.833333333333333</v>
      </c>
      <c r="I43" s="474">
        <f t="shared" si="94"/>
        <v>5.833333333333333</v>
      </c>
      <c r="J43" s="474">
        <f t="shared" si="94"/>
        <v>5.833333333333333</v>
      </c>
      <c r="K43" s="474">
        <f t="shared" si="94"/>
        <v>5.833333333333333</v>
      </c>
      <c r="L43" s="474">
        <f t="shared" si="94"/>
        <v>5.833333333333333</v>
      </c>
      <c r="M43" s="474">
        <f t="shared" si="94"/>
        <v>5.833333333333333</v>
      </c>
      <c r="N43" s="474">
        <f t="shared" si="94"/>
        <v>5.833333333333333</v>
      </c>
      <c r="O43" s="474">
        <f t="shared" si="94"/>
        <v>5.833333333333333</v>
      </c>
      <c r="P43" s="474">
        <f t="shared" si="94"/>
        <v>5.833333333333333</v>
      </c>
      <c r="Q43" s="474">
        <f t="shared" si="94"/>
        <v>5.833333333333333</v>
      </c>
      <c r="R43" s="474">
        <f t="shared" ref="R43:R45" si="95">MIN((R30/$C11)/12,(R30-Q56))</f>
        <v>5.833333333333333</v>
      </c>
      <c r="S43" s="474">
        <f>MIN((S30/$C11)/12,(S30-R56))</f>
        <v>172.5</v>
      </c>
      <c r="T43" s="474">
        <f>MIN((T30/$C11)/12,(T30-S56))</f>
        <v>172.5</v>
      </c>
      <c r="U43" s="474">
        <f t="shared" ref="U43:U45" si="96">MIN((U30/$C11)/12,(U30-T56))</f>
        <v>172.5</v>
      </c>
      <c r="V43" s="474">
        <f t="shared" ref="V43:V45" si="97">MIN((V30/$C11)/12,(V30-U56))</f>
        <v>172.5</v>
      </c>
      <c r="W43" s="474">
        <f t="shared" ref="W43:W45" si="98">MIN((W30/$C11)/12,(W30-V56))</f>
        <v>172.5</v>
      </c>
      <c r="X43" s="474">
        <f t="shared" ref="X43:X45" si="99">MIN((X30/$C11)/12,(X30-W56))</f>
        <v>172.5</v>
      </c>
      <c r="Y43" s="474">
        <f t="shared" ref="Y43:Y45" si="100">MIN((Y30/$C11)/12,(Y30-X56))</f>
        <v>172.5</v>
      </c>
      <c r="Z43" s="474">
        <f t="shared" ref="Z43:Z45" si="101">MIN((Z30/$C11)/12,(Z30-Y56))</f>
        <v>172.5</v>
      </c>
      <c r="AA43" s="474">
        <f t="shared" ref="AA43:AA45" si="102">MIN((AA30/$C11)/12,(AA30-Z56))</f>
        <v>172.5</v>
      </c>
      <c r="AB43" s="474">
        <f t="shared" ref="AB43:AB45" si="103">MIN((AB30/$C11)/12,(AB30-AA56))</f>
        <v>172.5</v>
      </c>
      <c r="AC43" s="474">
        <f t="shared" ref="AC43:AC45" si="104">MIN((AC30/$C11)/12,(AC30-AB56))</f>
        <v>172.5</v>
      </c>
      <c r="AD43" s="474">
        <f t="shared" ref="AD43:AD45" si="105">MIN((AD30/$C11)/12,(AD30-AC56))</f>
        <v>255.83333333333334</v>
      </c>
      <c r="AE43" s="474">
        <f t="shared" ref="AE43:AE45" si="106">MIN((AE30/$C11)/12,(AE30-AD56))</f>
        <v>255.83333333333334</v>
      </c>
      <c r="AF43" s="474">
        <f t="shared" ref="AF43:AF45" si="107">MIN((AF30/$C11)/12,(AF30-AE56))</f>
        <v>255.83333333333334</v>
      </c>
      <c r="AG43" s="474">
        <f t="shared" ref="AG43:AG45" si="108">MIN((AG30/$C11)/12,(AG30-AF56))</f>
        <v>255.83333333333334</v>
      </c>
      <c r="AH43" s="474">
        <f t="shared" ref="AH43:AH45" si="109">MIN((AH30/$C11)/12,(AH30-AG56))</f>
        <v>255.83333333333334</v>
      </c>
      <c r="AI43" s="474">
        <f t="shared" ref="AI43:AI45" si="110">MIN((AI30/$C11)/12,(AI30-AH56))</f>
        <v>255.83333333333334</v>
      </c>
      <c r="AJ43" s="474">
        <f t="shared" ref="AJ43:AJ45" si="111">MIN((AJ30/$C11)/12,(AJ30-AI56))</f>
        <v>255.83333333333334</v>
      </c>
      <c r="AK43" s="474">
        <f t="shared" ref="AK43:AK45" si="112">MIN((AK30/$C11)/12,(AK30-AJ56))</f>
        <v>255.83333333333334</v>
      </c>
      <c r="AL43" s="474">
        <f t="shared" ref="AL43:AL45" si="113">MIN((AL30/$C11)/12,(AL30-AK56))</f>
        <v>255.83333333333334</v>
      </c>
      <c r="AM43" s="474">
        <f t="shared" ref="AM43:AM45" si="114">MIN((AM30/$C11)/12,(AM30-AL56))</f>
        <v>255.83333333333334</v>
      </c>
      <c r="AN43" s="474">
        <f t="shared" ref="AN43:AN45" si="115">MIN((AN30/$C11)/12,(AN30-AM56))</f>
        <v>255.83333333333334</v>
      </c>
      <c r="AO43" s="474">
        <f t="shared" ref="AO43:AO45" si="116">MIN((AO30/$C11)/12,(AO30-AN56))</f>
        <v>255.83333333333334</v>
      </c>
    </row>
    <row r="44" spans="2:41">
      <c r="B44" s="130" t="s">
        <v>238</v>
      </c>
      <c r="F44" s="474">
        <f t="shared" ref="F44:Q45" si="117">MIN((F31/$C12)/12,(F31-E57))</f>
        <v>1.6666666666666667</v>
      </c>
      <c r="G44" s="474">
        <f t="shared" si="117"/>
        <v>1.6666666666666667</v>
      </c>
      <c r="H44" s="474">
        <f t="shared" si="117"/>
        <v>1.6666666666666667</v>
      </c>
      <c r="I44" s="474">
        <f t="shared" si="117"/>
        <v>1.6666666666666667</v>
      </c>
      <c r="J44" s="474">
        <f t="shared" si="117"/>
        <v>1.6666666666666667</v>
      </c>
      <c r="K44" s="474">
        <f t="shared" si="117"/>
        <v>1.6666666666666667</v>
      </c>
      <c r="L44" s="474">
        <f t="shared" si="117"/>
        <v>1.6666666666666667</v>
      </c>
      <c r="M44" s="474">
        <f t="shared" si="117"/>
        <v>1.6666666666666667</v>
      </c>
      <c r="N44" s="474">
        <f t="shared" si="117"/>
        <v>1.6666666666666667</v>
      </c>
      <c r="O44" s="474">
        <f t="shared" si="117"/>
        <v>1.6666666666666667</v>
      </c>
      <c r="P44" s="474">
        <f t="shared" si="117"/>
        <v>1.6666666666666667</v>
      </c>
      <c r="Q44" s="474">
        <f t="shared" si="117"/>
        <v>1.6666666666666667</v>
      </c>
      <c r="R44" s="474">
        <f t="shared" si="95"/>
        <v>1.6666666666666667</v>
      </c>
      <c r="S44" s="474">
        <f t="shared" ref="S44:S45" si="118">MIN((S31/$C12)/12,(S31-R57))</f>
        <v>85</v>
      </c>
      <c r="T44" s="474">
        <f t="shared" ref="T44:T45" si="119">MIN((T31/$C12)/12,(T31-S57))</f>
        <v>85</v>
      </c>
      <c r="U44" s="474">
        <f t="shared" si="96"/>
        <v>85</v>
      </c>
      <c r="V44" s="474">
        <f t="shared" si="97"/>
        <v>85</v>
      </c>
      <c r="W44" s="474">
        <f t="shared" si="98"/>
        <v>85</v>
      </c>
      <c r="X44" s="474">
        <f t="shared" si="99"/>
        <v>85</v>
      </c>
      <c r="Y44" s="474">
        <f t="shared" si="100"/>
        <v>85</v>
      </c>
      <c r="Z44" s="474">
        <f t="shared" si="101"/>
        <v>85</v>
      </c>
      <c r="AA44" s="474">
        <f t="shared" si="102"/>
        <v>85</v>
      </c>
      <c r="AB44" s="474">
        <f t="shared" si="103"/>
        <v>85</v>
      </c>
      <c r="AC44" s="474">
        <f t="shared" si="104"/>
        <v>85</v>
      </c>
      <c r="AD44" s="474">
        <f t="shared" si="105"/>
        <v>918.33333333333337</v>
      </c>
      <c r="AE44" s="474">
        <f t="shared" si="106"/>
        <v>918.33333333333337</v>
      </c>
      <c r="AF44" s="474">
        <f t="shared" si="107"/>
        <v>918.33333333333337</v>
      </c>
      <c r="AG44" s="474">
        <f t="shared" si="108"/>
        <v>918.33333333333337</v>
      </c>
      <c r="AH44" s="474">
        <f t="shared" si="109"/>
        <v>918.33333333333337</v>
      </c>
      <c r="AI44" s="474">
        <f t="shared" si="110"/>
        <v>918.33333333333337</v>
      </c>
      <c r="AJ44" s="474">
        <f t="shared" si="111"/>
        <v>918.33333333333337</v>
      </c>
      <c r="AK44" s="474">
        <f t="shared" si="112"/>
        <v>918.33333333333337</v>
      </c>
      <c r="AL44" s="474">
        <f t="shared" si="113"/>
        <v>918.33333333333337</v>
      </c>
      <c r="AM44" s="474">
        <f t="shared" si="114"/>
        <v>918.33333333333337</v>
      </c>
      <c r="AN44" s="474">
        <f t="shared" si="115"/>
        <v>918.33333333333337</v>
      </c>
      <c r="AO44" s="474">
        <f t="shared" si="116"/>
        <v>918.33333333333337</v>
      </c>
    </row>
    <row r="45" spans="2:41">
      <c r="B45" s="130" t="s">
        <v>239</v>
      </c>
      <c r="F45" s="474">
        <f t="shared" si="117"/>
        <v>2</v>
      </c>
      <c r="G45" s="474">
        <f t="shared" si="117"/>
        <v>2</v>
      </c>
      <c r="H45" s="474">
        <f t="shared" si="117"/>
        <v>2</v>
      </c>
      <c r="I45" s="474">
        <f t="shared" si="117"/>
        <v>2</v>
      </c>
      <c r="J45" s="474">
        <f t="shared" si="117"/>
        <v>2</v>
      </c>
      <c r="K45" s="474">
        <f t="shared" si="117"/>
        <v>2</v>
      </c>
      <c r="L45" s="474">
        <f t="shared" si="117"/>
        <v>2</v>
      </c>
      <c r="M45" s="474">
        <f t="shared" si="117"/>
        <v>2</v>
      </c>
      <c r="N45" s="474">
        <f t="shared" si="117"/>
        <v>2</v>
      </c>
      <c r="O45" s="474">
        <f t="shared" si="117"/>
        <v>2</v>
      </c>
      <c r="P45" s="474">
        <f t="shared" si="117"/>
        <v>2</v>
      </c>
      <c r="Q45" s="474">
        <f t="shared" si="117"/>
        <v>2</v>
      </c>
      <c r="R45" s="474">
        <f t="shared" si="95"/>
        <v>2</v>
      </c>
      <c r="S45" s="474">
        <f t="shared" si="118"/>
        <v>43.666666666666664</v>
      </c>
      <c r="T45" s="474">
        <f t="shared" si="119"/>
        <v>43.666666666666664</v>
      </c>
      <c r="U45" s="474">
        <f t="shared" si="96"/>
        <v>43.666666666666664</v>
      </c>
      <c r="V45" s="474">
        <f t="shared" si="97"/>
        <v>43.666666666666664</v>
      </c>
      <c r="W45" s="474">
        <f t="shared" si="98"/>
        <v>43.666666666666664</v>
      </c>
      <c r="X45" s="474">
        <f t="shared" si="99"/>
        <v>43.666666666666664</v>
      </c>
      <c r="Y45" s="474">
        <f t="shared" si="100"/>
        <v>43.666666666666664</v>
      </c>
      <c r="Z45" s="474">
        <f t="shared" si="101"/>
        <v>43.666666666666664</v>
      </c>
      <c r="AA45" s="474">
        <f t="shared" si="102"/>
        <v>43.666666666666664</v>
      </c>
      <c r="AB45" s="474">
        <f t="shared" si="103"/>
        <v>43.666666666666664</v>
      </c>
      <c r="AC45" s="474">
        <f t="shared" si="104"/>
        <v>43.666666666666664</v>
      </c>
      <c r="AD45" s="474">
        <f t="shared" si="105"/>
        <v>460.33333333333331</v>
      </c>
      <c r="AE45" s="474">
        <f t="shared" si="106"/>
        <v>460.33333333333331</v>
      </c>
      <c r="AF45" s="474">
        <f t="shared" si="107"/>
        <v>460.33333333333331</v>
      </c>
      <c r="AG45" s="474">
        <f t="shared" si="108"/>
        <v>460.33333333333331</v>
      </c>
      <c r="AH45" s="474">
        <f t="shared" si="109"/>
        <v>460.33333333333331</v>
      </c>
      <c r="AI45" s="474">
        <f t="shared" si="110"/>
        <v>460.33333333333331</v>
      </c>
      <c r="AJ45" s="474">
        <f t="shared" si="111"/>
        <v>460.33333333333331</v>
      </c>
      <c r="AK45" s="474">
        <f t="shared" si="112"/>
        <v>460.33333333333331</v>
      </c>
      <c r="AL45" s="474">
        <f t="shared" si="113"/>
        <v>460.33333333333331</v>
      </c>
      <c r="AM45" s="474">
        <f t="shared" si="114"/>
        <v>460.33333333333331</v>
      </c>
      <c r="AN45" s="474">
        <f t="shared" si="115"/>
        <v>460.33333333333331</v>
      </c>
      <c r="AO45" s="474">
        <f t="shared" si="116"/>
        <v>460.33333333333331</v>
      </c>
    </row>
    <row r="46" spans="2:41">
      <c r="B46" s="57" t="s">
        <v>76</v>
      </c>
      <c r="C46" s="57"/>
      <c r="D46" s="57"/>
      <c r="E46" s="57"/>
      <c r="F46" s="475">
        <f t="shared" ref="F46:Q46" si="120">SUM(F43:F45)</f>
        <v>9.5</v>
      </c>
      <c r="G46" s="475">
        <f t="shared" si="120"/>
        <v>9.5</v>
      </c>
      <c r="H46" s="475">
        <f t="shared" si="120"/>
        <v>9.5</v>
      </c>
      <c r="I46" s="475">
        <f t="shared" si="120"/>
        <v>9.5</v>
      </c>
      <c r="J46" s="475">
        <f t="shared" si="120"/>
        <v>9.5</v>
      </c>
      <c r="K46" s="475">
        <f t="shared" si="120"/>
        <v>9.5</v>
      </c>
      <c r="L46" s="475">
        <f t="shared" si="120"/>
        <v>9.5</v>
      </c>
      <c r="M46" s="475">
        <f t="shared" si="120"/>
        <v>9.5</v>
      </c>
      <c r="N46" s="475">
        <f t="shared" si="120"/>
        <v>9.5</v>
      </c>
      <c r="O46" s="475">
        <f t="shared" si="120"/>
        <v>9.5</v>
      </c>
      <c r="P46" s="475">
        <f t="shared" si="120"/>
        <v>9.5</v>
      </c>
      <c r="Q46" s="475">
        <f t="shared" si="120"/>
        <v>9.5</v>
      </c>
      <c r="R46" s="475">
        <f t="shared" ref="R46:AO46" si="121">SUM(R43:R45)</f>
        <v>9.5</v>
      </c>
      <c r="S46" s="475">
        <f t="shared" si="121"/>
        <v>301.16666666666669</v>
      </c>
      <c r="T46" s="475">
        <f t="shared" si="121"/>
        <v>301.16666666666669</v>
      </c>
      <c r="U46" s="475">
        <f t="shared" si="121"/>
        <v>301.16666666666669</v>
      </c>
      <c r="V46" s="475">
        <f t="shared" si="121"/>
        <v>301.16666666666669</v>
      </c>
      <c r="W46" s="475">
        <f t="shared" si="121"/>
        <v>301.16666666666669</v>
      </c>
      <c r="X46" s="475">
        <f t="shared" si="121"/>
        <v>301.16666666666669</v>
      </c>
      <c r="Y46" s="475">
        <f t="shared" si="121"/>
        <v>301.16666666666669</v>
      </c>
      <c r="Z46" s="475">
        <f t="shared" si="121"/>
        <v>301.16666666666669</v>
      </c>
      <c r="AA46" s="475">
        <f t="shared" si="121"/>
        <v>301.16666666666669</v>
      </c>
      <c r="AB46" s="475">
        <f t="shared" si="121"/>
        <v>301.16666666666669</v>
      </c>
      <c r="AC46" s="475">
        <f t="shared" si="121"/>
        <v>301.16666666666669</v>
      </c>
      <c r="AD46" s="475">
        <f t="shared" si="121"/>
        <v>1634.5</v>
      </c>
      <c r="AE46" s="475">
        <f t="shared" si="121"/>
        <v>1634.5</v>
      </c>
      <c r="AF46" s="475">
        <f t="shared" si="121"/>
        <v>1634.5</v>
      </c>
      <c r="AG46" s="475">
        <f t="shared" si="121"/>
        <v>1634.5</v>
      </c>
      <c r="AH46" s="475">
        <f t="shared" si="121"/>
        <v>1634.5</v>
      </c>
      <c r="AI46" s="475">
        <f t="shared" si="121"/>
        <v>1634.5</v>
      </c>
      <c r="AJ46" s="475">
        <f t="shared" si="121"/>
        <v>1634.5</v>
      </c>
      <c r="AK46" s="475">
        <f t="shared" si="121"/>
        <v>1634.5</v>
      </c>
      <c r="AL46" s="475">
        <f t="shared" si="121"/>
        <v>1634.5</v>
      </c>
      <c r="AM46" s="475">
        <f t="shared" si="121"/>
        <v>1634.5</v>
      </c>
      <c r="AN46" s="475">
        <f t="shared" si="121"/>
        <v>1634.5</v>
      </c>
      <c r="AO46" s="475">
        <f t="shared" si="121"/>
        <v>1634.5</v>
      </c>
    </row>
    <row r="47" spans="2:41">
      <c r="B47" s="57"/>
      <c r="C47" s="57"/>
      <c r="D47" s="57"/>
      <c r="E47" s="57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</row>
    <row r="48" spans="2:41"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</row>
    <row r="49" spans="2:41">
      <c r="B49" s="301" t="s">
        <v>77</v>
      </c>
      <c r="C49" s="301"/>
      <c r="D49" s="301"/>
      <c r="E49" s="301"/>
      <c r="F49" s="331">
        <f>+F46+F41</f>
        <v>16.166666666666668</v>
      </c>
      <c r="G49" s="331">
        <f t="shared" ref="G49:Q49" si="122">+G46+G41</f>
        <v>16.166666666666668</v>
      </c>
      <c r="H49" s="331">
        <f t="shared" si="122"/>
        <v>16.166666666666668</v>
      </c>
      <c r="I49" s="331">
        <f t="shared" si="122"/>
        <v>16.166666666666668</v>
      </c>
      <c r="J49" s="331">
        <f t="shared" si="122"/>
        <v>16.166666666666668</v>
      </c>
      <c r="K49" s="331">
        <f t="shared" si="122"/>
        <v>16.166666666666668</v>
      </c>
      <c r="L49" s="331">
        <f t="shared" si="122"/>
        <v>16.166666666666668</v>
      </c>
      <c r="M49" s="331">
        <f t="shared" si="122"/>
        <v>16.166666666666668</v>
      </c>
      <c r="N49" s="331">
        <f t="shared" si="122"/>
        <v>16.166666666666668</v>
      </c>
      <c r="O49" s="331">
        <f t="shared" si="122"/>
        <v>16.166666666666668</v>
      </c>
      <c r="P49" s="331">
        <f t="shared" si="122"/>
        <v>16.166666666666668</v>
      </c>
      <c r="Q49" s="331">
        <f t="shared" si="122"/>
        <v>16.166666666666668</v>
      </c>
      <c r="R49" s="331">
        <f t="shared" ref="R49:AO49" si="123">+R46+R41</f>
        <v>16.166666666666668</v>
      </c>
      <c r="S49" s="331">
        <f t="shared" si="123"/>
        <v>307.83333333333337</v>
      </c>
      <c r="T49" s="331">
        <f t="shared" si="123"/>
        <v>307.83333333333337</v>
      </c>
      <c r="U49" s="331">
        <f t="shared" si="123"/>
        <v>307.83333333333337</v>
      </c>
      <c r="V49" s="331">
        <f t="shared" si="123"/>
        <v>307.83333333333337</v>
      </c>
      <c r="W49" s="331">
        <f t="shared" si="123"/>
        <v>307.83333333333337</v>
      </c>
      <c r="X49" s="331">
        <f t="shared" si="123"/>
        <v>307.83333333333337</v>
      </c>
      <c r="Y49" s="331">
        <f t="shared" si="123"/>
        <v>307.83333333333337</v>
      </c>
      <c r="Z49" s="331">
        <f t="shared" si="123"/>
        <v>307.83333333333337</v>
      </c>
      <c r="AA49" s="331">
        <f t="shared" si="123"/>
        <v>307.83333333333337</v>
      </c>
      <c r="AB49" s="331">
        <f t="shared" si="123"/>
        <v>307.83333333333337</v>
      </c>
      <c r="AC49" s="331">
        <f t="shared" si="123"/>
        <v>307.83333333333337</v>
      </c>
      <c r="AD49" s="331">
        <f t="shared" si="123"/>
        <v>1641.1666666666667</v>
      </c>
      <c r="AE49" s="331">
        <f t="shared" si="123"/>
        <v>1641.1666666666667</v>
      </c>
      <c r="AF49" s="331">
        <f t="shared" si="123"/>
        <v>1641.1666666666667</v>
      </c>
      <c r="AG49" s="331">
        <f t="shared" si="123"/>
        <v>1641.1666666666667</v>
      </c>
      <c r="AH49" s="331">
        <f t="shared" si="123"/>
        <v>1641.1666666666667</v>
      </c>
      <c r="AI49" s="331">
        <f t="shared" si="123"/>
        <v>1641.1666666666667</v>
      </c>
      <c r="AJ49" s="331">
        <f t="shared" si="123"/>
        <v>1641.1666666666667</v>
      </c>
      <c r="AK49" s="331">
        <f t="shared" si="123"/>
        <v>1641.1666666666667</v>
      </c>
      <c r="AL49" s="331">
        <f t="shared" si="123"/>
        <v>1641.1666666666667</v>
      </c>
      <c r="AM49" s="331">
        <f t="shared" si="123"/>
        <v>1641.1666666666667</v>
      </c>
      <c r="AN49" s="331">
        <f t="shared" si="123"/>
        <v>1641.1666666666667</v>
      </c>
      <c r="AO49" s="331">
        <f t="shared" si="123"/>
        <v>1641.1666666666667</v>
      </c>
    </row>
    <row r="50" spans="2:41">
      <c r="B50" s="7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</row>
    <row r="51" spans="2:41" ht="16" thickBot="1">
      <c r="B51" s="341" t="s">
        <v>98</v>
      </c>
      <c r="C51" s="342"/>
      <c r="D51" s="342"/>
      <c r="E51" s="342"/>
      <c r="F51" s="344">
        <f>+F38</f>
        <v>46053</v>
      </c>
      <c r="G51" s="344">
        <f t="shared" ref="G51:AO51" si="124">+G38</f>
        <v>46054</v>
      </c>
      <c r="H51" s="344">
        <f t="shared" si="124"/>
        <v>46082</v>
      </c>
      <c r="I51" s="344">
        <f t="shared" si="124"/>
        <v>46113</v>
      </c>
      <c r="J51" s="344">
        <f t="shared" si="124"/>
        <v>46143</v>
      </c>
      <c r="K51" s="344">
        <f t="shared" si="124"/>
        <v>46174</v>
      </c>
      <c r="L51" s="344">
        <f t="shared" si="124"/>
        <v>46204</v>
      </c>
      <c r="M51" s="344">
        <f t="shared" si="124"/>
        <v>46235</v>
      </c>
      <c r="N51" s="344">
        <f t="shared" si="124"/>
        <v>46266</v>
      </c>
      <c r="O51" s="344">
        <f t="shared" si="124"/>
        <v>46296</v>
      </c>
      <c r="P51" s="344">
        <f t="shared" si="124"/>
        <v>46327</v>
      </c>
      <c r="Q51" s="344">
        <f t="shared" si="124"/>
        <v>46357</v>
      </c>
      <c r="R51" s="344">
        <f t="shared" si="124"/>
        <v>46388</v>
      </c>
      <c r="S51" s="344">
        <f t="shared" si="124"/>
        <v>46419</v>
      </c>
      <c r="T51" s="344">
        <f t="shared" si="124"/>
        <v>46447</v>
      </c>
      <c r="U51" s="344">
        <f t="shared" si="124"/>
        <v>46478</v>
      </c>
      <c r="V51" s="344">
        <f t="shared" si="124"/>
        <v>46508</v>
      </c>
      <c r="W51" s="344">
        <f t="shared" si="124"/>
        <v>46539</v>
      </c>
      <c r="X51" s="344">
        <f t="shared" si="124"/>
        <v>46569</v>
      </c>
      <c r="Y51" s="344">
        <f t="shared" si="124"/>
        <v>46600</v>
      </c>
      <c r="Z51" s="344">
        <f t="shared" si="124"/>
        <v>46631</v>
      </c>
      <c r="AA51" s="344">
        <f t="shared" si="124"/>
        <v>46661</v>
      </c>
      <c r="AB51" s="344">
        <f t="shared" si="124"/>
        <v>46692</v>
      </c>
      <c r="AC51" s="344">
        <f t="shared" si="124"/>
        <v>46722</v>
      </c>
      <c r="AD51" s="344">
        <f t="shared" si="124"/>
        <v>46753</v>
      </c>
      <c r="AE51" s="344">
        <f t="shared" si="124"/>
        <v>46784</v>
      </c>
      <c r="AF51" s="344">
        <f t="shared" si="124"/>
        <v>46813</v>
      </c>
      <c r="AG51" s="344">
        <f t="shared" si="124"/>
        <v>46844</v>
      </c>
      <c r="AH51" s="344">
        <f t="shared" si="124"/>
        <v>46874</v>
      </c>
      <c r="AI51" s="344">
        <f t="shared" si="124"/>
        <v>46905</v>
      </c>
      <c r="AJ51" s="344">
        <f t="shared" si="124"/>
        <v>46935</v>
      </c>
      <c r="AK51" s="344">
        <f t="shared" si="124"/>
        <v>46966</v>
      </c>
      <c r="AL51" s="344">
        <f t="shared" si="124"/>
        <v>46997</v>
      </c>
      <c r="AM51" s="344">
        <f t="shared" si="124"/>
        <v>47027</v>
      </c>
      <c r="AN51" s="344">
        <f t="shared" si="124"/>
        <v>47058</v>
      </c>
      <c r="AO51" s="344">
        <f t="shared" si="124"/>
        <v>47088</v>
      </c>
    </row>
    <row r="52" spans="2:41">
      <c r="B52" s="71"/>
      <c r="H52" s="128"/>
    </row>
    <row r="53" spans="2:41">
      <c r="B53" s="130" t="s">
        <v>15</v>
      </c>
      <c r="F53" s="454">
        <f>+F40</f>
        <v>80</v>
      </c>
      <c r="G53" s="454">
        <f>+F40+G40</f>
        <v>160</v>
      </c>
      <c r="H53" s="454">
        <f>+F40+G40+H40</f>
        <v>240</v>
      </c>
      <c r="I53" s="454">
        <f>SUM(F40:I40)</f>
        <v>320</v>
      </c>
      <c r="J53" s="454">
        <f>SUM(F40:J40)</f>
        <v>400</v>
      </c>
      <c r="K53" s="454">
        <f>SUM(F40:K40)</f>
        <v>480</v>
      </c>
      <c r="L53" s="454">
        <f>SUM(F40:L40)</f>
        <v>560</v>
      </c>
      <c r="M53" s="454">
        <f>SUM(F40:M40)</f>
        <v>640</v>
      </c>
      <c r="N53" s="454">
        <f>SUM(F40:N40)</f>
        <v>720</v>
      </c>
      <c r="O53" s="454">
        <f>SUM(F40:O40)</f>
        <v>800</v>
      </c>
      <c r="P53" s="454">
        <f>SUM(F40:P40)</f>
        <v>880</v>
      </c>
      <c r="Q53" s="454">
        <f>SUM(F40:Q40)</f>
        <v>960</v>
      </c>
      <c r="R53" s="454">
        <f t="shared" ref="R53:AO53" si="125">SUM(G40:R40)</f>
        <v>960</v>
      </c>
      <c r="S53" s="454">
        <f t="shared" si="125"/>
        <v>960</v>
      </c>
      <c r="T53" s="454">
        <f t="shared" si="125"/>
        <v>960</v>
      </c>
      <c r="U53" s="454">
        <f t="shared" si="125"/>
        <v>960</v>
      </c>
      <c r="V53" s="454">
        <f t="shared" si="125"/>
        <v>960</v>
      </c>
      <c r="W53" s="454">
        <f t="shared" si="125"/>
        <v>960</v>
      </c>
      <c r="X53" s="454">
        <f t="shared" si="125"/>
        <v>960</v>
      </c>
      <c r="Y53" s="454">
        <f t="shared" si="125"/>
        <v>960</v>
      </c>
      <c r="Z53" s="454">
        <f t="shared" si="125"/>
        <v>960</v>
      </c>
      <c r="AA53" s="454">
        <f t="shared" si="125"/>
        <v>960</v>
      </c>
      <c r="AB53" s="454">
        <f t="shared" si="125"/>
        <v>960</v>
      </c>
      <c r="AC53" s="454">
        <f t="shared" si="125"/>
        <v>960</v>
      </c>
      <c r="AD53" s="454">
        <f t="shared" si="125"/>
        <v>960</v>
      </c>
      <c r="AE53" s="454">
        <f t="shared" si="125"/>
        <v>960</v>
      </c>
      <c r="AF53" s="454">
        <f t="shared" si="125"/>
        <v>960</v>
      </c>
      <c r="AG53" s="454">
        <f t="shared" si="125"/>
        <v>960</v>
      </c>
      <c r="AH53" s="454">
        <f t="shared" si="125"/>
        <v>960</v>
      </c>
      <c r="AI53" s="454">
        <f t="shared" si="125"/>
        <v>960</v>
      </c>
      <c r="AJ53" s="454">
        <f t="shared" si="125"/>
        <v>960</v>
      </c>
      <c r="AK53" s="454">
        <f t="shared" si="125"/>
        <v>960</v>
      </c>
      <c r="AL53" s="454">
        <f t="shared" si="125"/>
        <v>960</v>
      </c>
      <c r="AM53" s="454">
        <f t="shared" si="125"/>
        <v>960</v>
      </c>
      <c r="AN53" s="454">
        <f t="shared" si="125"/>
        <v>960</v>
      </c>
      <c r="AO53" s="454">
        <f t="shared" si="125"/>
        <v>960</v>
      </c>
    </row>
    <row r="54" spans="2:41">
      <c r="B54" s="57" t="s">
        <v>75</v>
      </c>
      <c r="C54" s="57"/>
      <c r="D54" s="57"/>
      <c r="E54" s="57"/>
      <c r="F54" s="475">
        <f>IF(E9&gt;0, E9/($C$8*12), 0)</f>
        <v>6.666666666666667</v>
      </c>
      <c r="G54" s="475">
        <f t="shared" ref="G54:P54" si="126">F54 + G41</f>
        <v>13.333333333333334</v>
      </c>
      <c r="H54" s="475">
        <f t="shared" si="126"/>
        <v>20</v>
      </c>
      <c r="I54" s="475">
        <f t="shared" si="126"/>
        <v>26.666666666666668</v>
      </c>
      <c r="J54" s="475">
        <f t="shared" si="126"/>
        <v>33.333333333333336</v>
      </c>
      <c r="K54" s="475">
        <f t="shared" si="126"/>
        <v>40</v>
      </c>
      <c r="L54" s="475">
        <f t="shared" si="126"/>
        <v>46.666666666666664</v>
      </c>
      <c r="M54" s="475">
        <f t="shared" si="126"/>
        <v>53.333333333333329</v>
      </c>
      <c r="N54" s="475">
        <f t="shared" si="126"/>
        <v>59.999999999999993</v>
      </c>
      <c r="O54" s="475">
        <f t="shared" si="126"/>
        <v>66.666666666666657</v>
      </c>
      <c r="P54" s="475">
        <f t="shared" si="126"/>
        <v>73.333333333333329</v>
      </c>
      <c r="Q54" s="475">
        <f>P54 + Q41</f>
        <v>80</v>
      </c>
      <c r="R54" s="475">
        <f t="shared" ref="R54:AO54" si="127">Q54 + R41</f>
        <v>86.666666666666671</v>
      </c>
      <c r="S54" s="475">
        <f t="shared" si="127"/>
        <v>93.333333333333343</v>
      </c>
      <c r="T54" s="475">
        <f t="shared" si="127"/>
        <v>100.00000000000001</v>
      </c>
      <c r="U54" s="475">
        <f t="shared" si="127"/>
        <v>106.66666666666669</v>
      </c>
      <c r="V54" s="475">
        <f t="shared" si="127"/>
        <v>113.33333333333336</v>
      </c>
      <c r="W54" s="475">
        <f t="shared" si="127"/>
        <v>120.00000000000003</v>
      </c>
      <c r="X54" s="475">
        <f t="shared" si="127"/>
        <v>126.6666666666667</v>
      </c>
      <c r="Y54" s="475">
        <f t="shared" si="127"/>
        <v>133.33333333333337</v>
      </c>
      <c r="Z54" s="475">
        <f t="shared" si="127"/>
        <v>140.00000000000003</v>
      </c>
      <c r="AA54" s="475">
        <f t="shared" si="127"/>
        <v>146.66666666666669</v>
      </c>
      <c r="AB54" s="475">
        <f t="shared" si="127"/>
        <v>153.33333333333334</v>
      </c>
      <c r="AC54" s="475">
        <f t="shared" si="127"/>
        <v>160</v>
      </c>
      <c r="AD54" s="475">
        <f t="shared" si="127"/>
        <v>166.66666666666666</v>
      </c>
      <c r="AE54" s="475">
        <f t="shared" si="127"/>
        <v>173.33333333333331</v>
      </c>
      <c r="AF54" s="475">
        <f t="shared" si="127"/>
        <v>179.99999999999997</v>
      </c>
      <c r="AG54" s="475">
        <f t="shared" si="127"/>
        <v>186.66666666666663</v>
      </c>
      <c r="AH54" s="475">
        <f t="shared" si="127"/>
        <v>193.33333333333329</v>
      </c>
      <c r="AI54" s="475">
        <f t="shared" si="127"/>
        <v>199.99999999999994</v>
      </c>
      <c r="AJ54" s="475">
        <f t="shared" si="127"/>
        <v>206.6666666666666</v>
      </c>
      <c r="AK54" s="475">
        <f t="shared" si="127"/>
        <v>213.33333333333326</v>
      </c>
      <c r="AL54" s="475">
        <f t="shared" si="127"/>
        <v>219.99999999999991</v>
      </c>
      <c r="AM54" s="475">
        <f t="shared" si="127"/>
        <v>226.66666666666657</v>
      </c>
      <c r="AN54" s="475">
        <f t="shared" si="127"/>
        <v>233.33333333333323</v>
      </c>
      <c r="AO54" s="475">
        <f t="shared" si="127"/>
        <v>239.99999999999989</v>
      </c>
    </row>
    <row r="55" spans="2:41">
      <c r="F55" s="73"/>
      <c r="G55" s="73"/>
      <c r="H55" s="73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</row>
    <row r="56" spans="2:41">
      <c r="B56" s="130" t="s">
        <v>237</v>
      </c>
      <c r="F56" s="476">
        <f t="shared" ref="F56:Q56" si="128">E56 + F43</f>
        <v>5.833333333333333</v>
      </c>
      <c r="G56" s="474">
        <f t="shared" si="128"/>
        <v>11.666666666666666</v>
      </c>
      <c r="H56" s="474">
        <f t="shared" si="128"/>
        <v>17.5</v>
      </c>
      <c r="I56" s="474">
        <f t="shared" si="128"/>
        <v>23.333333333333332</v>
      </c>
      <c r="J56" s="474">
        <f t="shared" si="128"/>
        <v>29.166666666666664</v>
      </c>
      <c r="K56" s="474">
        <f t="shared" si="128"/>
        <v>35</v>
      </c>
      <c r="L56" s="474">
        <f t="shared" si="128"/>
        <v>40.833333333333336</v>
      </c>
      <c r="M56" s="474">
        <f t="shared" si="128"/>
        <v>46.666666666666671</v>
      </c>
      <c r="N56" s="474">
        <f t="shared" si="128"/>
        <v>52.500000000000007</v>
      </c>
      <c r="O56" s="474">
        <f t="shared" si="128"/>
        <v>58.333333333333343</v>
      </c>
      <c r="P56" s="474">
        <f t="shared" si="128"/>
        <v>64.166666666666671</v>
      </c>
      <c r="Q56" s="474">
        <f t="shared" si="128"/>
        <v>70</v>
      </c>
      <c r="R56" s="474">
        <f t="shared" ref="R56:R58" si="129">Q56 + R43</f>
        <v>75.833333333333329</v>
      </c>
      <c r="S56" s="474">
        <f t="shared" ref="S56:S58" si="130">R56 + S43</f>
        <v>248.33333333333331</v>
      </c>
      <c r="T56" s="474">
        <f>S56 + T43</f>
        <v>420.83333333333331</v>
      </c>
      <c r="U56" s="474">
        <f t="shared" ref="U56:U58" si="131">T56 + U43</f>
        <v>593.33333333333326</v>
      </c>
      <c r="V56" s="474">
        <f t="shared" ref="V56:V58" si="132">U56 + V43</f>
        <v>765.83333333333326</v>
      </c>
      <c r="W56" s="474">
        <f t="shared" ref="W56:W58" si="133">V56 + W43</f>
        <v>938.33333333333326</v>
      </c>
      <c r="X56" s="474">
        <f t="shared" ref="X56:X58" si="134">W56 + X43</f>
        <v>1110.8333333333333</v>
      </c>
      <c r="Y56" s="474">
        <f t="shared" ref="Y56:Y58" si="135">X56 + Y43</f>
        <v>1283.3333333333333</v>
      </c>
      <c r="Z56" s="474">
        <f t="shared" ref="Z56:Z58" si="136">Y56 + Z43</f>
        <v>1455.8333333333333</v>
      </c>
      <c r="AA56" s="474">
        <f t="shared" ref="AA56:AA58" si="137">Z56 + AA43</f>
        <v>1628.3333333333333</v>
      </c>
      <c r="AB56" s="474">
        <f t="shared" ref="AB56:AB58" si="138">AA56 + AB43</f>
        <v>1800.8333333333333</v>
      </c>
      <c r="AC56" s="474">
        <f t="shared" ref="AC56:AC58" si="139">AB56 + AC43</f>
        <v>1973.3333333333333</v>
      </c>
      <c r="AD56" s="474">
        <f t="shared" ref="AD56:AD58" si="140">AC56 + AD43</f>
        <v>2229.1666666666665</v>
      </c>
      <c r="AE56" s="474">
        <f t="shared" ref="AE56:AE58" si="141">AD56 + AE43</f>
        <v>2485</v>
      </c>
      <c r="AF56" s="474">
        <f t="shared" ref="AF56:AF58" si="142">AE56 + AF43</f>
        <v>2740.8333333333335</v>
      </c>
      <c r="AG56" s="474">
        <f t="shared" ref="AG56:AG58" si="143">AF56 + AG43</f>
        <v>2996.666666666667</v>
      </c>
      <c r="AH56" s="474">
        <f t="shared" ref="AH56:AH58" si="144">AG56 + AH43</f>
        <v>3252.5000000000005</v>
      </c>
      <c r="AI56" s="474">
        <f t="shared" ref="AI56:AI58" si="145">AH56 + AI43</f>
        <v>3508.3333333333339</v>
      </c>
      <c r="AJ56" s="474">
        <f t="shared" ref="AJ56:AJ58" si="146">AI56 + AJ43</f>
        <v>3764.1666666666674</v>
      </c>
      <c r="AK56" s="474">
        <f t="shared" ref="AK56:AK58" si="147">AJ56 + AK43</f>
        <v>4020.0000000000009</v>
      </c>
      <c r="AL56" s="474">
        <f t="shared" ref="AL56:AL58" si="148">AK56 + AL43</f>
        <v>4275.8333333333339</v>
      </c>
      <c r="AM56" s="474">
        <f t="shared" ref="AM56:AM58" si="149">AL56 + AM43</f>
        <v>4531.666666666667</v>
      </c>
      <c r="AN56" s="474">
        <f t="shared" ref="AN56:AN58" si="150">AM56 + AN43</f>
        <v>4787.5</v>
      </c>
      <c r="AO56" s="474">
        <f t="shared" ref="AO56:AO58" si="151">AN56 + AO43</f>
        <v>5043.333333333333</v>
      </c>
    </row>
    <row r="57" spans="2:41">
      <c r="B57" s="130" t="s">
        <v>238</v>
      </c>
      <c r="F57" s="474">
        <f t="shared" ref="F57:Q58" si="152">E57 + F44</f>
        <v>1.6666666666666667</v>
      </c>
      <c r="G57" s="474">
        <f t="shared" si="152"/>
        <v>3.3333333333333335</v>
      </c>
      <c r="H57" s="474">
        <f t="shared" si="152"/>
        <v>5</v>
      </c>
      <c r="I57" s="474">
        <f t="shared" si="152"/>
        <v>6.666666666666667</v>
      </c>
      <c r="J57" s="474">
        <f t="shared" si="152"/>
        <v>8.3333333333333339</v>
      </c>
      <c r="K57" s="474">
        <f t="shared" si="152"/>
        <v>10</v>
      </c>
      <c r="L57" s="474">
        <f t="shared" si="152"/>
        <v>11.666666666666666</v>
      </c>
      <c r="M57" s="474">
        <f t="shared" si="152"/>
        <v>13.333333333333332</v>
      </c>
      <c r="N57" s="474">
        <f t="shared" si="152"/>
        <v>14.999999999999998</v>
      </c>
      <c r="O57" s="474">
        <f t="shared" si="152"/>
        <v>16.666666666666664</v>
      </c>
      <c r="P57" s="474">
        <f t="shared" si="152"/>
        <v>18.333333333333332</v>
      </c>
      <c r="Q57" s="474">
        <f t="shared" si="152"/>
        <v>20</v>
      </c>
      <c r="R57" s="474">
        <f t="shared" si="129"/>
        <v>21.666666666666668</v>
      </c>
      <c r="S57" s="474">
        <f t="shared" si="130"/>
        <v>106.66666666666667</v>
      </c>
      <c r="T57" s="474">
        <f t="shared" ref="T57:T58" si="153">S57 + T44</f>
        <v>191.66666666666669</v>
      </c>
      <c r="U57" s="474">
        <f t="shared" si="131"/>
        <v>276.66666666666669</v>
      </c>
      <c r="V57" s="474">
        <f t="shared" si="132"/>
        <v>361.66666666666669</v>
      </c>
      <c r="W57" s="474">
        <f t="shared" si="133"/>
        <v>446.66666666666669</v>
      </c>
      <c r="X57" s="474">
        <f t="shared" si="134"/>
        <v>531.66666666666674</v>
      </c>
      <c r="Y57" s="474">
        <f t="shared" si="135"/>
        <v>616.66666666666674</v>
      </c>
      <c r="Z57" s="474">
        <f t="shared" si="136"/>
        <v>701.66666666666674</v>
      </c>
      <c r="AA57" s="474">
        <f t="shared" si="137"/>
        <v>786.66666666666674</v>
      </c>
      <c r="AB57" s="474">
        <f t="shared" si="138"/>
        <v>871.66666666666674</v>
      </c>
      <c r="AC57" s="474">
        <f t="shared" si="139"/>
        <v>956.66666666666674</v>
      </c>
      <c r="AD57" s="474">
        <f t="shared" si="140"/>
        <v>1875</v>
      </c>
      <c r="AE57" s="474">
        <f t="shared" si="141"/>
        <v>2793.3333333333335</v>
      </c>
      <c r="AF57" s="474">
        <f t="shared" si="142"/>
        <v>3711.666666666667</v>
      </c>
      <c r="AG57" s="474">
        <f t="shared" si="143"/>
        <v>4630</v>
      </c>
      <c r="AH57" s="474">
        <f t="shared" si="144"/>
        <v>5548.333333333333</v>
      </c>
      <c r="AI57" s="474">
        <f t="shared" si="145"/>
        <v>6466.6666666666661</v>
      </c>
      <c r="AJ57" s="474">
        <f t="shared" si="146"/>
        <v>7384.9999999999991</v>
      </c>
      <c r="AK57" s="474">
        <f t="shared" si="147"/>
        <v>8303.3333333333321</v>
      </c>
      <c r="AL57" s="474">
        <f t="shared" si="148"/>
        <v>9221.6666666666661</v>
      </c>
      <c r="AM57" s="474">
        <f t="shared" si="149"/>
        <v>10140</v>
      </c>
      <c r="AN57" s="474">
        <f t="shared" si="150"/>
        <v>11058.333333333334</v>
      </c>
      <c r="AO57" s="474">
        <f t="shared" si="151"/>
        <v>11976.666666666668</v>
      </c>
    </row>
    <row r="58" spans="2:41">
      <c r="B58" s="130" t="s">
        <v>239</v>
      </c>
      <c r="F58" s="474">
        <f t="shared" si="152"/>
        <v>2</v>
      </c>
      <c r="G58" s="474">
        <f t="shared" si="152"/>
        <v>4</v>
      </c>
      <c r="H58" s="474">
        <f t="shared" si="152"/>
        <v>6</v>
      </c>
      <c r="I58" s="474">
        <f t="shared" si="152"/>
        <v>8</v>
      </c>
      <c r="J58" s="474">
        <f t="shared" si="152"/>
        <v>10</v>
      </c>
      <c r="K58" s="474">
        <f t="shared" si="152"/>
        <v>12</v>
      </c>
      <c r="L58" s="474">
        <f t="shared" si="152"/>
        <v>14</v>
      </c>
      <c r="M58" s="474">
        <f t="shared" si="152"/>
        <v>16</v>
      </c>
      <c r="N58" s="474">
        <f t="shared" si="152"/>
        <v>18</v>
      </c>
      <c r="O58" s="474">
        <f t="shared" si="152"/>
        <v>20</v>
      </c>
      <c r="P58" s="474">
        <f t="shared" si="152"/>
        <v>22</v>
      </c>
      <c r="Q58" s="474">
        <f t="shared" si="152"/>
        <v>24</v>
      </c>
      <c r="R58" s="474">
        <f t="shared" si="129"/>
        <v>26</v>
      </c>
      <c r="S58" s="474">
        <f t="shared" si="130"/>
        <v>69.666666666666657</v>
      </c>
      <c r="T58" s="474">
        <f t="shared" si="153"/>
        <v>113.33333333333331</v>
      </c>
      <c r="U58" s="474">
        <f t="shared" si="131"/>
        <v>156.99999999999997</v>
      </c>
      <c r="V58" s="474">
        <f t="shared" si="132"/>
        <v>200.66666666666663</v>
      </c>
      <c r="W58" s="474">
        <f t="shared" si="133"/>
        <v>244.33333333333329</v>
      </c>
      <c r="X58" s="474">
        <f t="shared" si="134"/>
        <v>287.99999999999994</v>
      </c>
      <c r="Y58" s="474">
        <f t="shared" si="135"/>
        <v>331.66666666666663</v>
      </c>
      <c r="Z58" s="474">
        <f t="shared" si="136"/>
        <v>375.33333333333331</v>
      </c>
      <c r="AA58" s="474">
        <f t="shared" si="137"/>
        <v>419</v>
      </c>
      <c r="AB58" s="474">
        <f t="shared" si="138"/>
        <v>462.66666666666669</v>
      </c>
      <c r="AC58" s="474">
        <f t="shared" si="139"/>
        <v>506.33333333333337</v>
      </c>
      <c r="AD58" s="474">
        <f t="shared" si="140"/>
        <v>966.66666666666674</v>
      </c>
      <c r="AE58" s="474">
        <f t="shared" si="141"/>
        <v>1427</v>
      </c>
      <c r="AF58" s="474">
        <f t="shared" si="142"/>
        <v>1887.3333333333333</v>
      </c>
      <c r="AG58" s="474">
        <f t="shared" si="143"/>
        <v>2347.6666666666665</v>
      </c>
      <c r="AH58" s="474">
        <f t="shared" si="144"/>
        <v>2808</v>
      </c>
      <c r="AI58" s="474">
        <f t="shared" si="145"/>
        <v>3268.3333333333335</v>
      </c>
      <c r="AJ58" s="474">
        <f t="shared" si="146"/>
        <v>3728.666666666667</v>
      </c>
      <c r="AK58" s="474">
        <f t="shared" si="147"/>
        <v>4189</v>
      </c>
      <c r="AL58" s="474">
        <f t="shared" si="148"/>
        <v>4649.333333333333</v>
      </c>
      <c r="AM58" s="474">
        <f t="shared" si="149"/>
        <v>5109.6666666666661</v>
      </c>
      <c r="AN58" s="474">
        <f t="shared" si="150"/>
        <v>5569.9999999999991</v>
      </c>
      <c r="AO58" s="474">
        <f t="shared" si="151"/>
        <v>6030.3333333333321</v>
      </c>
    </row>
    <row r="59" spans="2:41">
      <c r="B59" s="57" t="s">
        <v>76</v>
      </c>
      <c r="C59" s="57"/>
      <c r="D59" s="57"/>
      <c r="E59" s="57"/>
      <c r="F59" s="475">
        <f>SUM(F56:F58)</f>
        <v>9.5</v>
      </c>
      <c r="G59" s="475">
        <f>SUM(G56:G58)</f>
        <v>19</v>
      </c>
      <c r="H59" s="475">
        <f>SUM(H56:H58)</f>
        <v>28.5</v>
      </c>
      <c r="I59" s="475">
        <f>SUM(I56:I58)</f>
        <v>38</v>
      </c>
      <c r="J59" s="475">
        <f>SUM(J56:J58)</f>
        <v>47.5</v>
      </c>
      <c r="K59" s="475">
        <f t="shared" ref="K59:P59" si="154">SUM(K56:K58)</f>
        <v>57</v>
      </c>
      <c r="L59" s="475">
        <f t="shared" si="154"/>
        <v>66.5</v>
      </c>
      <c r="M59" s="475">
        <f t="shared" si="154"/>
        <v>76</v>
      </c>
      <c r="N59" s="475">
        <f t="shared" si="154"/>
        <v>85.5</v>
      </c>
      <c r="O59" s="475">
        <f t="shared" si="154"/>
        <v>95</v>
      </c>
      <c r="P59" s="475">
        <f t="shared" si="154"/>
        <v>104.5</v>
      </c>
      <c r="Q59" s="475">
        <f>SUM(Q56:Q58)</f>
        <v>114</v>
      </c>
      <c r="R59" s="475">
        <f t="shared" ref="R59:AO59" si="155">SUM(R56:R58)</f>
        <v>123.5</v>
      </c>
      <c r="S59" s="475">
        <f t="shared" si="155"/>
        <v>424.66666666666663</v>
      </c>
      <c r="T59" s="475">
        <f t="shared" si="155"/>
        <v>725.83333333333326</v>
      </c>
      <c r="U59" s="475">
        <f t="shared" si="155"/>
        <v>1027</v>
      </c>
      <c r="V59" s="475">
        <f t="shared" si="155"/>
        <v>1328.1666666666665</v>
      </c>
      <c r="W59" s="475">
        <f t="shared" si="155"/>
        <v>1629.3333333333333</v>
      </c>
      <c r="X59" s="475">
        <f t="shared" si="155"/>
        <v>1930.5</v>
      </c>
      <c r="Y59" s="475">
        <f t="shared" si="155"/>
        <v>2231.6666666666665</v>
      </c>
      <c r="Z59" s="475">
        <f t="shared" si="155"/>
        <v>2532.8333333333335</v>
      </c>
      <c r="AA59" s="475">
        <f t="shared" si="155"/>
        <v>2834</v>
      </c>
      <c r="AB59" s="475">
        <f t="shared" si="155"/>
        <v>3135.1666666666665</v>
      </c>
      <c r="AC59" s="475">
        <f t="shared" si="155"/>
        <v>3436.3333333333335</v>
      </c>
      <c r="AD59" s="475">
        <f t="shared" si="155"/>
        <v>5070.833333333333</v>
      </c>
      <c r="AE59" s="475">
        <f t="shared" si="155"/>
        <v>6705.3333333333339</v>
      </c>
      <c r="AF59" s="475">
        <f t="shared" si="155"/>
        <v>8339.8333333333339</v>
      </c>
      <c r="AG59" s="475">
        <f t="shared" si="155"/>
        <v>9974.3333333333339</v>
      </c>
      <c r="AH59" s="475">
        <f t="shared" si="155"/>
        <v>11608.833333333334</v>
      </c>
      <c r="AI59" s="475">
        <f t="shared" si="155"/>
        <v>13243.333333333334</v>
      </c>
      <c r="AJ59" s="475">
        <f t="shared" si="155"/>
        <v>14877.833333333332</v>
      </c>
      <c r="AK59" s="475">
        <f t="shared" si="155"/>
        <v>16512.333333333332</v>
      </c>
      <c r="AL59" s="475">
        <f t="shared" si="155"/>
        <v>18146.833333333332</v>
      </c>
      <c r="AM59" s="475">
        <f t="shared" si="155"/>
        <v>19781.333333333336</v>
      </c>
      <c r="AN59" s="475">
        <f t="shared" si="155"/>
        <v>21415.833333333332</v>
      </c>
      <c r="AO59" s="475">
        <f t="shared" si="155"/>
        <v>23050.333333333332</v>
      </c>
    </row>
    <row r="60" spans="2:41"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</row>
    <row r="61" spans="2:41">
      <c r="B61" s="301" t="s">
        <v>77</v>
      </c>
      <c r="C61" s="301"/>
      <c r="D61" s="301"/>
      <c r="E61" s="301"/>
      <c r="F61" s="331">
        <f t="shared" ref="F61:P61" si="156">+F59+F54</f>
        <v>16.166666666666668</v>
      </c>
      <c r="G61" s="331">
        <f t="shared" si="156"/>
        <v>32.333333333333336</v>
      </c>
      <c r="H61" s="331">
        <f t="shared" si="156"/>
        <v>48.5</v>
      </c>
      <c r="I61" s="331">
        <f t="shared" si="156"/>
        <v>64.666666666666671</v>
      </c>
      <c r="J61" s="331">
        <f t="shared" si="156"/>
        <v>80.833333333333343</v>
      </c>
      <c r="K61" s="331">
        <f t="shared" si="156"/>
        <v>97</v>
      </c>
      <c r="L61" s="331">
        <f t="shared" si="156"/>
        <v>113.16666666666666</v>
      </c>
      <c r="M61" s="331">
        <f t="shared" si="156"/>
        <v>129.33333333333331</v>
      </c>
      <c r="N61" s="331">
        <f t="shared" si="156"/>
        <v>145.5</v>
      </c>
      <c r="O61" s="331">
        <f t="shared" si="156"/>
        <v>161.66666666666666</v>
      </c>
      <c r="P61" s="331">
        <f t="shared" si="156"/>
        <v>177.83333333333331</v>
      </c>
      <c r="Q61" s="331">
        <f>+Q59+Q54</f>
        <v>194</v>
      </c>
      <c r="R61" s="331">
        <f t="shared" ref="R61:AO61" si="157">+R59+R54</f>
        <v>210.16666666666669</v>
      </c>
      <c r="S61" s="331">
        <f t="shared" si="157"/>
        <v>518</v>
      </c>
      <c r="T61" s="331">
        <f t="shared" si="157"/>
        <v>825.83333333333326</v>
      </c>
      <c r="U61" s="331">
        <f t="shared" si="157"/>
        <v>1133.6666666666667</v>
      </c>
      <c r="V61" s="331">
        <f t="shared" si="157"/>
        <v>1441.4999999999998</v>
      </c>
      <c r="W61" s="331">
        <f t="shared" si="157"/>
        <v>1749.3333333333333</v>
      </c>
      <c r="X61" s="331">
        <f t="shared" si="157"/>
        <v>2057.1666666666665</v>
      </c>
      <c r="Y61" s="331">
        <f t="shared" si="157"/>
        <v>2365</v>
      </c>
      <c r="Z61" s="331">
        <f t="shared" si="157"/>
        <v>2672.8333333333335</v>
      </c>
      <c r="AA61" s="331">
        <f t="shared" si="157"/>
        <v>2980.6666666666665</v>
      </c>
      <c r="AB61" s="331">
        <f t="shared" si="157"/>
        <v>3288.5</v>
      </c>
      <c r="AC61" s="331">
        <f t="shared" si="157"/>
        <v>3596.3333333333335</v>
      </c>
      <c r="AD61" s="331">
        <f t="shared" si="157"/>
        <v>5237.5</v>
      </c>
      <c r="AE61" s="331">
        <f t="shared" si="157"/>
        <v>6878.666666666667</v>
      </c>
      <c r="AF61" s="331">
        <f t="shared" si="157"/>
        <v>8519.8333333333339</v>
      </c>
      <c r="AG61" s="331">
        <f t="shared" si="157"/>
        <v>10161</v>
      </c>
      <c r="AH61" s="331">
        <f t="shared" si="157"/>
        <v>11802.166666666668</v>
      </c>
      <c r="AI61" s="331">
        <f t="shared" si="157"/>
        <v>13443.333333333334</v>
      </c>
      <c r="AJ61" s="331">
        <f t="shared" si="157"/>
        <v>15084.499999999998</v>
      </c>
      <c r="AK61" s="331">
        <f t="shared" si="157"/>
        <v>16725.666666666664</v>
      </c>
      <c r="AL61" s="331">
        <f t="shared" si="157"/>
        <v>18366.833333333332</v>
      </c>
      <c r="AM61" s="331">
        <f t="shared" si="157"/>
        <v>20008.000000000004</v>
      </c>
      <c r="AN61" s="331">
        <f t="shared" si="157"/>
        <v>21649.166666666664</v>
      </c>
      <c r="AO61" s="331">
        <f t="shared" si="157"/>
        <v>23290.333333333332</v>
      </c>
    </row>
    <row r="62" spans="2:41">
      <c r="B62" s="173"/>
      <c r="C62" s="173"/>
      <c r="D62" s="173"/>
      <c r="E62" s="173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</row>
    <row r="63" spans="2:41">
      <c r="B63" s="7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</row>
    <row r="64" spans="2:41" ht="16" thickBot="1">
      <c r="B64" s="341" t="s">
        <v>309</v>
      </c>
      <c r="C64" s="342"/>
      <c r="D64" s="342"/>
      <c r="E64" s="342"/>
      <c r="F64" s="344">
        <f>+F51</f>
        <v>46053</v>
      </c>
      <c r="G64" s="344">
        <f t="shared" ref="G64:AO64" si="158">+G51</f>
        <v>46054</v>
      </c>
      <c r="H64" s="344">
        <f t="shared" si="158"/>
        <v>46082</v>
      </c>
      <c r="I64" s="344">
        <f t="shared" si="158"/>
        <v>46113</v>
      </c>
      <c r="J64" s="344">
        <f t="shared" si="158"/>
        <v>46143</v>
      </c>
      <c r="K64" s="344">
        <f t="shared" si="158"/>
        <v>46174</v>
      </c>
      <c r="L64" s="344">
        <f t="shared" si="158"/>
        <v>46204</v>
      </c>
      <c r="M64" s="344">
        <f t="shared" si="158"/>
        <v>46235</v>
      </c>
      <c r="N64" s="344">
        <f t="shared" si="158"/>
        <v>46266</v>
      </c>
      <c r="O64" s="344">
        <f t="shared" si="158"/>
        <v>46296</v>
      </c>
      <c r="P64" s="344">
        <f t="shared" si="158"/>
        <v>46327</v>
      </c>
      <c r="Q64" s="344">
        <f t="shared" si="158"/>
        <v>46357</v>
      </c>
      <c r="R64" s="344">
        <f t="shared" si="158"/>
        <v>46388</v>
      </c>
      <c r="S64" s="344">
        <f t="shared" si="158"/>
        <v>46419</v>
      </c>
      <c r="T64" s="344">
        <f t="shared" si="158"/>
        <v>46447</v>
      </c>
      <c r="U64" s="344">
        <f t="shared" si="158"/>
        <v>46478</v>
      </c>
      <c r="V64" s="344">
        <f t="shared" si="158"/>
        <v>46508</v>
      </c>
      <c r="W64" s="344">
        <f t="shared" si="158"/>
        <v>46539</v>
      </c>
      <c r="X64" s="344">
        <f t="shared" si="158"/>
        <v>46569</v>
      </c>
      <c r="Y64" s="344">
        <f t="shared" si="158"/>
        <v>46600</v>
      </c>
      <c r="Z64" s="344">
        <f t="shared" si="158"/>
        <v>46631</v>
      </c>
      <c r="AA64" s="344">
        <f t="shared" si="158"/>
        <v>46661</v>
      </c>
      <c r="AB64" s="344">
        <f t="shared" si="158"/>
        <v>46692</v>
      </c>
      <c r="AC64" s="344">
        <f t="shared" si="158"/>
        <v>46722</v>
      </c>
      <c r="AD64" s="344">
        <f t="shared" si="158"/>
        <v>46753</v>
      </c>
      <c r="AE64" s="344">
        <f t="shared" si="158"/>
        <v>46784</v>
      </c>
      <c r="AF64" s="344">
        <f t="shared" si="158"/>
        <v>46813</v>
      </c>
      <c r="AG64" s="344">
        <f t="shared" si="158"/>
        <v>46844</v>
      </c>
      <c r="AH64" s="344">
        <f t="shared" si="158"/>
        <v>46874</v>
      </c>
      <c r="AI64" s="344">
        <f t="shared" si="158"/>
        <v>46905</v>
      </c>
      <c r="AJ64" s="344">
        <f t="shared" si="158"/>
        <v>46935</v>
      </c>
      <c r="AK64" s="344">
        <f t="shared" si="158"/>
        <v>46966</v>
      </c>
      <c r="AL64" s="344">
        <f t="shared" si="158"/>
        <v>46997</v>
      </c>
      <c r="AM64" s="344">
        <f t="shared" si="158"/>
        <v>47027</v>
      </c>
      <c r="AN64" s="344">
        <f t="shared" si="158"/>
        <v>47058</v>
      </c>
      <c r="AO64" s="344">
        <f t="shared" si="158"/>
        <v>47088</v>
      </c>
    </row>
    <row r="65" spans="1:41">
      <c r="B65" s="71"/>
      <c r="H65" s="128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spans="1:41">
      <c r="B66" s="130" t="s">
        <v>15</v>
      </c>
      <c r="F66" s="454">
        <f t="shared" ref="F66:Q66" si="159">F27-F53</f>
        <v>320</v>
      </c>
      <c r="G66" s="454">
        <f t="shared" si="159"/>
        <v>240</v>
      </c>
      <c r="H66" s="454">
        <f t="shared" si="159"/>
        <v>160</v>
      </c>
      <c r="I66" s="454">
        <f t="shared" si="159"/>
        <v>80</v>
      </c>
      <c r="J66" s="454">
        <f t="shared" si="159"/>
        <v>0</v>
      </c>
      <c r="K66" s="454">
        <f t="shared" si="159"/>
        <v>-80</v>
      </c>
      <c r="L66" s="454">
        <f t="shared" si="159"/>
        <v>-160</v>
      </c>
      <c r="M66" s="454">
        <f t="shared" si="159"/>
        <v>-240</v>
      </c>
      <c r="N66" s="454">
        <f t="shared" si="159"/>
        <v>-320</v>
      </c>
      <c r="O66" s="454">
        <f t="shared" si="159"/>
        <v>-400</v>
      </c>
      <c r="P66" s="454">
        <f t="shared" si="159"/>
        <v>-480</v>
      </c>
      <c r="Q66" s="454">
        <f t="shared" si="159"/>
        <v>-560</v>
      </c>
      <c r="R66" s="454">
        <f t="shared" ref="R66:AO66" si="160">R27-R53</f>
        <v>-560</v>
      </c>
      <c r="S66" s="454">
        <f t="shared" si="160"/>
        <v>-560</v>
      </c>
      <c r="T66" s="454">
        <f t="shared" si="160"/>
        <v>-560</v>
      </c>
      <c r="U66" s="454">
        <f t="shared" si="160"/>
        <v>-560</v>
      </c>
      <c r="V66" s="454">
        <f t="shared" si="160"/>
        <v>-560</v>
      </c>
      <c r="W66" s="454">
        <f t="shared" si="160"/>
        <v>-560</v>
      </c>
      <c r="X66" s="454">
        <f t="shared" si="160"/>
        <v>-560</v>
      </c>
      <c r="Y66" s="454">
        <f t="shared" si="160"/>
        <v>-560</v>
      </c>
      <c r="Z66" s="454">
        <f t="shared" si="160"/>
        <v>-560</v>
      </c>
      <c r="AA66" s="454">
        <f t="shared" si="160"/>
        <v>-560</v>
      </c>
      <c r="AB66" s="454">
        <f t="shared" si="160"/>
        <v>-560</v>
      </c>
      <c r="AC66" s="454">
        <f t="shared" si="160"/>
        <v>-560</v>
      </c>
      <c r="AD66" s="454">
        <f t="shared" si="160"/>
        <v>-560</v>
      </c>
      <c r="AE66" s="454">
        <f t="shared" si="160"/>
        <v>-560</v>
      </c>
      <c r="AF66" s="454">
        <f t="shared" si="160"/>
        <v>-560</v>
      </c>
      <c r="AG66" s="454">
        <f t="shared" si="160"/>
        <v>-560</v>
      </c>
      <c r="AH66" s="454">
        <f t="shared" si="160"/>
        <v>-560</v>
      </c>
      <c r="AI66" s="454">
        <f t="shared" si="160"/>
        <v>-560</v>
      </c>
      <c r="AJ66" s="454">
        <f t="shared" si="160"/>
        <v>-560</v>
      </c>
      <c r="AK66" s="454">
        <f t="shared" si="160"/>
        <v>-560</v>
      </c>
      <c r="AL66" s="454">
        <f t="shared" si="160"/>
        <v>-560</v>
      </c>
      <c r="AM66" s="454">
        <f t="shared" si="160"/>
        <v>-560</v>
      </c>
      <c r="AN66" s="454">
        <f t="shared" si="160"/>
        <v>-560</v>
      </c>
      <c r="AO66" s="454">
        <f t="shared" si="160"/>
        <v>-560</v>
      </c>
    </row>
    <row r="67" spans="1:41">
      <c r="B67" s="72" t="s">
        <v>75</v>
      </c>
      <c r="C67" s="72"/>
      <c r="D67" s="72"/>
      <c r="E67" s="72"/>
      <c r="F67" s="455">
        <f>F28 - F54</f>
        <v>393.33333333333331</v>
      </c>
      <c r="G67" s="455">
        <f>G28 - G54</f>
        <v>386.66666666666669</v>
      </c>
      <c r="H67" s="455">
        <f>H28 - H54</f>
        <v>380</v>
      </c>
      <c r="I67" s="455">
        <f>I28 - I54</f>
        <v>373.33333333333331</v>
      </c>
      <c r="J67" s="455">
        <f t="shared" ref="J67:P67" si="161">J28 - J54</f>
        <v>366.66666666666669</v>
      </c>
      <c r="K67" s="455">
        <f t="shared" si="161"/>
        <v>360</v>
      </c>
      <c r="L67" s="455">
        <f t="shared" si="161"/>
        <v>353.33333333333331</v>
      </c>
      <c r="M67" s="455">
        <f t="shared" si="161"/>
        <v>346.66666666666669</v>
      </c>
      <c r="N67" s="455">
        <f t="shared" si="161"/>
        <v>340</v>
      </c>
      <c r="O67" s="455">
        <f t="shared" si="161"/>
        <v>333.33333333333337</v>
      </c>
      <c r="P67" s="455">
        <f t="shared" si="161"/>
        <v>326.66666666666669</v>
      </c>
      <c r="Q67" s="455">
        <f>Q28 - Q54</f>
        <v>320</v>
      </c>
      <c r="R67" s="455">
        <f t="shared" ref="R67:AO67" si="162">R28 - R54</f>
        <v>313.33333333333331</v>
      </c>
      <c r="S67" s="455">
        <f t="shared" si="162"/>
        <v>306.66666666666663</v>
      </c>
      <c r="T67" s="455">
        <f t="shared" si="162"/>
        <v>300</v>
      </c>
      <c r="U67" s="455">
        <f t="shared" si="162"/>
        <v>293.33333333333331</v>
      </c>
      <c r="V67" s="455">
        <f t="shared" si="162"/>
        <v>286.66666666666663</v>
      </c>
      <c r="W67" s="455">
        <f t="shared" si="162"/>
        <v>280</v>
      </c>
      <c r="X67" s="455">
        <f t="shared" si="162"/>
        <v>273.33333333333331</v>
      </c>
      <c r="Y67" s="455">
        <f t="shared" si="162"/>
        <v>266.66666666666663</v>
      </c>
      <c r="Z67" s="455">
        <f t="shared" si="162"/>
        <v>260</v>
      </c>
      <c r="AA67" s="455">
        <f t="shared" si="162"/>
        <v>253.33333333333331</v>
      </c>
      <c r="AB67" s="455">
        <f t="shared" si="162"/>
        <v>246.66666666666666</v>
      </c>
      <c r="AC67" s="455">
        <f t="shared" si="162"/>
        <v>240</v>
      </c>
      <c r="AD67" s="455">
        <f t="shared" si="162"/>
        <v>233.33333333333334</v>
      </c>
      <c r="AE67" s="455">
        <f t="shared" si="162"/>
        <v>226.66666666666669</v>
      </c>
      <c r="AF67" s="455">
        <f t="shared" si="162"/>
        <v>220.00000000000003</v>
      </c>
      <c r="AG67" s="455">
        <f t="shared" si="162"/>
        <v>213.33333333333337</v>
      </c>
      <c r="AH67" s="455">
        <f t="shared" si="162"/>
        <v>206.66666666666671</v>
      </c>
      <c r="AI67" s="455">
        <f t="shared" si="162"/>
        <v>200.00000000000006</v>
      </c>
      <c r="AJ67" s="455">
        <f t="shared" si="162"/>
        <v>193.3333333333334</v>
      </c>
      <c r="AK67" s="455">
        <f t="shared" si="162"/>
        <v>186.66666666666674</v>
      </c>
      <c r="AL67" s="455">
        <f t="shared" si="162"/>
        <v>180.00000000000009</v>
      </c>
      <c r="AM67" s="455">
        <f t="shared" si="162"/>
        <v>173.33333333333343</v>
      </c>
      <c r="AN67" s="455">
        <f t="shared" si="162"/>
        <v>166.66666666666677</v>
      </c>
      <c r="AO67" s="455">
        <f t="shared" si="162"/>
        <v>160.00000000000011</v>
      </c>
    </row>
    <row r="68" spans="1:41">
      <c r="F68" s="73"/>
      <c r="G68" s="73"/>
      <c r="H68" s="73"/>
      <c r="I68" s="79"/>
      <c r="J68" s="79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spans="1:41">
      <c r="B69" s="130" t="s">
        <v>237</v>
      </c>
      <c r="F69" s="474">
        <f>F30 - F56</f>
        <v>344.16666666666669</v>
      </c>
      <c r="G69" s="474">
        <f t="shared" ref="G69:P69" si="163">G30 - G56</f>
        <v>338.33333333333331</v>
      </c>
      <c r="H69" s="474">
        <f>H30 - H56</f>
        <v>332.5</v>
      </c>
      <c r="I69" s="474">
        <f t="shared" si="163"/>
        <v>326.66666666666669</v>
      </c>
      <c r="J69" s="474">
        <f t="shared" si="163"/>
        <v>320.83333333333331</v>
      </c>
      <c r="K69" s="474">
        <f t="shared" si="163"/>
        <v>315</v>
      </c>
      <c r="L69" s="474">
        <f t="shared" si="163"/>
        <v>309.16666666666669</v>
      </c>
      <c r="M69" s="474">
        <f t="shared" si="163"/>
        <v>303.33333333333331</v>
      </c>
      <c r="N69" s="474">
        <f t="shared" si="163"/>
        <v>297.5</v>
      </c>
      <c r="O69" s="474">
        <f t="shared" si="163"/>
        <v>291.66666666666663</v>
      </c>
      <c r="P69" s="474">
        <f t="shared" si="163"/>
        <v>285.83333333333331</v>
      </c>
      <c r="Q69" s="474">
        <f>Q30 - Q56</f>
        <v>280</v>
      </c>
      <c r="R69" s="474">
        <f t="shared" ref="R69:AO69" si="164">R30 - R56</f>
        <v>274.16666666666669</v>
      </c>
      <c r="S69" s="474">
        <f t="shared" si="164"/>
        <v>10101.666666666666</v>
      </c>
      <c r="T69" s="474">
        <f t="shared" si="164"/>
        <v>9929.1666666666661</v>
      </c>
      <c r="U69" s="474">
        <f t="shared" si="164"/>
        <v>9756.6666666666661</v>
      </c>
      <c r="V69" s="474">
        <f t="shared" si="164"/>
        <v>9584.1666666666661</v>
      </c>
      <c r="W69" s="474">
        <f t="shared" si="164"/>
        <v>9411.6666666666661</v>
      </c>
      <c r="X69" s="474">
        <f t="shared" si="164"/>
        <v>9239.1666666666661</v>
      </c>
      <c r="Y69" s="474">
        <f t="shared" si="164"/>
        <v>9066.6666666666661</v>
      </c>
      <c r="Z69" s="474">
        <f t="shared" si="164"/>
        <v>8894.1666666666661</v>
      </c>
      <c r="AA69" s="474">
        <f t="shared" si="164"/>
        <v>8721.6666666666661</v>
      </c>
      <c r="AB69" s="474">
        <f t="shared" si="164"/>
        <v>8549.1666666666661</v>
      </c>
      <c r="AC69" s="474">
        <f t="shared" si="164"/>
        <v>8376.6666666666661</v>
      </c>
      <c r="AD69" s="474">
        <f t="shared" si="164"/>
        <v>13120.833333333334</v>
      </c>
      <c r="AE69" s="474">
        <f t="shared" si="164"/>
        <v>12865</v>
      </c>
      <c r="AF69" s="474">
        <f t="shared" si="164"/>
        <v>12609.166666666666</v>
      </c>
      <c r="AG69" s="474">
        <f t="shared" si="164"/>
        <v>12353.333333333332</v>
      </c>
      <c r="AH69" s="474">
        <f t="shared" si="164"/>
        <v>12097.5</v>
      </c>
      <c r="AI69" s="474">
        <f t="shared" si="164"/>
        <v>11841.666666666666</v>
      </c>
      <c r="AJ69" s="474">
        <f t="shared" si="164"/>
        <v>11585.833333333332</v>
      </c>
      <c r="AK69" s="474">
        <f t="shared" si="164"/>
        <v>11330</v>
      </c>
      <c r="AL69" s="474">
        <f t="shared" si="164"/>
        <v>11074.166666666666</v>
      </c>
      <c r="AM69" s="474">
        <f t="shared" si="164"/>
        <v>10818.333333333332</v>
      </c>
      <c r="AN69" s="474">
        <f t="shared" si="164"/>
        <v>10562.5</v>
      </c>
      <c r="AO69" s="474">
        <f t="shared" si="164"/>
        <v>10306.666666666668</v>
      </c>
    </row>
    <row r="70" spans="1:41">
      <c r="B70" s="130" t="s">
        <v>238</v>
      </c>
      <c r="F70" s="474">
        <f t="shared" ref="F70:P71" si="165">F31 - F57</f>
        <v>98.333333333333329</v>
      </c>
      <c r="G70" s="474">
        <f t="shared" si="165"/>
        <v>96.666666666666671</v>
      </c>
      <c r="H70" s="474">
        <f t="shared" si="165"/>
        <v>95</v>
      </c>
      <c r="I70" s="474">
        <f t="shared" si="165"/>
        <v>93.333333333333329</v>
      </c>
      <c r="J70" s="474">
        <f t="shared" si="165"/>
        <v>91.666666666666671</v>
      </c>
      <c r="K70" s="474">
        <f t="shared" si="165"/>
        <v>90</v>
      </c>
      <c r="L70" s="474">
        <f t="shared" si="165"/>
        <v>88.333333333333329</v>
      </c>
      <c r="M70" s="474">
        <f t="shared" si="165"/>
        <v>86.666666666666671</v>
      </c>
      <c r="N70" s="474">
        <f t="shared" si="165"/>
        <v>85</v>
      </c>
      <c r="O70" s="474">
        <f t="shared" si="165"/>
        <v>83.333333333333343</v>
      </c>
      <c r="P70" s="474">
        <f t="shared" si="165"/>
        <v>81.666666666666671</v>
      </c>
      <c r="Q70" s="474">
        <f>Q31 - Q57</f>
        <v>80</v>
      </c>
      <c r="R70" s="474">
        <f t="shared" ref="R70:AO70" si="166">R31 - R57</f>
        <v>78.333333333333329</v>
      </c>
      <c r="S70" s="474">
        <f t="shared" si="166"/>
        <v>4993.333333333333</v>
      </c>
      <c r="T70" s="474">
        <f t="shared" si="166"/>
        <v>4908.333333333333</v>
      </c>
      <c r="U70" s="474">
        <f t="shared" si="166"/>
        <v>4823.333333333333</v>
      </c>
      <c r="V70" s="474">
        <f t="shared" si="166"/>
        <v>4738.333333333333</v>
      </c>
      <c r="W70" s="474">
        <f t="shared" si="166"/>
        <v>4653.333333333333</v>
      </c>
      <c r="X70" s="474">
        <f t="shared" si="166"/>
        <v>4568.333333333333</v>
      </c>
      <c r="Y70" s="474">
        <f t="shared" si="166"/>
        <v>4483.333333333333</v>
      </c>
      <c r="Z70" s="474">
        <f t="shared" si="166"/>
        <v>4398.333333333333</v>
      </c>
      <c r="AA70" s="474">
        <f t="shared" si="166"/>
        <v>4313.333333333333</v>
      </c>
      <c r="AB70" s="474">
        <f t="shared" si="166"/>
        <v>4228.333333333333</v>
      </c>
      <c r="AC70" s="474">
        <f t="shared" si="166"/>
        <v>4143.333333333333</v>
      </c>
      <c r="AD70" s="474">
        <f t="shared" si="166"/>
        <v>53225</v>
      </c>
      <c r="AE70" s="474">
        <f t="shared" si="166"/>
        <v>52306.666666666664</v>
      </c>
      <c r="AF70" s="474">
        <f t="shared" si="166"/>
        <v>51388.333333333336</v>
      </c>
      <c r="AG70" s="474">
        <f t="shared" si="166"/>
        <v>50470</v>
      </c>
      <c r="AH70" s="474">
        <f t="shared" si="166"/>
        <v>49551.666666666664</v>
      </c>
      <c r="AI70" s="474">
        <f t="shared" si="166"/>
        <v>48633.333333333336</v>
      </c>
      <c r="AJ70" s="474">
        <f t="shared" si="166"/>
        <v>47715</v>
      </c>
      <c r="AK70" s="474">
        <f t="shared" si="166"/>
        <v>46796.666666666672</v>
      </c>
      <c r="AL70" s="474">
        <f t="shared" si="166"/>
        <v>45878.333333333336</v>
      </c>
      <c r="AM70" s="474">
        <f t="shared" si="166"/>
        <v>44960</v>
      </c>
      <c r="AN70" s="474">
        <f t="shared" si="166"/>
        <v>44041.666666666664</v>
      </c>
      <c r="AO70" s="474">
        <f t="shared" si="166"/>
        <v>43123.333333333328</v>
      </c>
    </row>
    <row r="71" spans="1:41">
      <c r="B71" s="130" t="s">
        <v>239</v>
      </c>
      <c r="F71" s="474">
        <f t="shared" si="165"/>
        <v>118</v>
      </c>
      <c r="G71" s="474">
        <f t="shared" si="165"/>
        <v>116</v>
      </c>
      <c r="H71" s="474">
        <f t="shared" si="165"/>
        <v>114</v>
      </c>
      <c r="I71" s="474">
        <f t="shared" si="165"/>
        <v>112</v>
      </c>
      <c r="J71" s="474">
        <f t="shared" si="165"/>
        <v>110</v>
      </c>
      <c r="K71" s="474">
        <f t="shared" si="165"/>
        <v>108</v>
      </c>
      <c r="L71" s="474">
        <f t="shared" si="165"/>
        <v>106</v>
      </c>
      <c r="M71" s="474">
        <f t="shared" si="165"/>
        <v>104</v>
      </c>
      <c r="N71" s="474">
        <f t="shared" si="165"/>
        <v>102</v>
      </c>
      <c r="O71" s="474">
        <f t="shared" si="165"/>
        <v>100</v>
      </c>
      <c r="P71" s="474">
        <f t="shared" si="165"/>
        <v>98</v>
      </c>
      <c r="Q71" s="474">
        <f>Q32 - Q58</f>
        <v>96</v>
      </c>
      <c r="R71" s="474">
        <f t="shared" ref="R71:AO71" si="167">R32 - R58</f>
        <v>94</v>
      </c>
      <c r="S71" s="474">
        <f t="shared" si="167"/>
        <v>2550.3333333333335</v>
      </c>
      <c r="T71" s="474">
        <f t="shared" si="167"/>
        <v>2506.6666666666665</v>
      </c>
      <c r="U71" s="474">
        <f t="shared" si="167"/>
        <v>2463</v>
      </c>
      <c r="V71" s="474">
        <f t="shared" si="167"/>
        <v>2419.3333333333335</v>
      </c>
      <c r="W71" s="474">
        <f t="shared" si="167"/>
        <v>2375.6666666666665</v>
      </c>
      <c r="X71" s="474">
        <f t="shared" si="167"/>
        <v>2332</v>
      </c>
      <c r="Y71" s="474">
        <f t="shared" si="167"/>
        <v>2288.3333333333335</v>
      </c>
      <c r="Z71" s="474">
        <f t="shared" si="167"/>
        <v>2244.6666666666665</v>
      </c>
      <c r="AA71" s="474">
        <f t="shared" si="167"/>
        <v>2201</v>
      </c>
      <c r="AB71" s="474">
        <f t="shared" si="167"/>
        <v>2157.3333333333335</v>
      </c>
      <c r="AC71" s="474">
        <f t="shared" si="167"/>
        <v>2113.6666666666665</v>
      </c>
      <c r="AD71" s="474">
        <f t="shared" si="167"/>
        <v>26653.333333333332</v>
      </c>
      <c r="AE71" s="474">
        <f t="shared" si="167"/>
        <v>26193</v>
      </c>
      <c r="AF71" s="474">
        <f t="shared" si="167"/>
        <v>25732.666666666668</v>
      </c>
      <c r="AG71" s="474">
        <f t="shared" si="167"/>
        <v>25272.333333333332</v>
      </c>
      <c r="AH71" s="474">
        <f t="shared" si="167"/>
        <v>24812</v>
      </c>
      <c r="AI71" s="474">
        <f t="shared" si="167"/>
        <v>24351.666666666668</v>
      </c>
      <c r="AJ71" s="474">
        <f t="shared" si="167"/>
        <v>23891.333333333332</v>
      </c>
      <c r="AK71" s="474">
        <f t="shared" si="167"/>
        <v>23431</v>
      </c>
      <c r="AL71" s="474">
        <f t="shared" si="167"/>
        <v>22970.666666666668</v>
      </c>
      <c r="AM71" s="474">
        <f t="shared" si="167"/>
        <v>22510.333333333336</v>
      </c>
      <c r="AN71" s="474">
        <f t="shared" si="167"/>
        <v>22050</v>
      </c>
      <c r="AO71" s="474">
        <f t="shared" si="167"/>
        <v>21589.666666666668</v>
      </c>
    </row>
    <row r="72" spans="1:41">
      <c r="B72" s="72" t="s">
        <v>76</v>
      </c>
      <c r="C72" s="72"/>
      <c r="D72" s="72"/>
      <c r="E72" s="72"/>
      <c r="F72" s="455">
        <f>SUM(F69:F71)</f>
        <v>560.5</v>
      </c>
      <c r="G72" s="455">
        <f>SUM(G69:G71)</f>
        <v>551</v>
      </c>
      <c r="H72" s="455">
        <f>SUM(H69:H71)</f>
        <v>541.5</v>
      </c>
      <c r="I72" s="455">
        <f>SUM(I69:I71)</f>
        <v>532</v>
      </c>
      <c r="J72" s="455">
        <f>SUM(J69:J71)</f>
        <v>522.5</v>
      </c>
      <c r="K72" s="455">
        <f t="shared" ref="K72:P72" si="168">SUM(K69:K71)</f>
        <v>513</v>
      </c>
      <c r="L72" s="455">
        <f t="shared" si="168"/>
        <v>503.5</v>
      </c>
      <c r="M72" s="455">
        <f t="shared" si="168"/>
        <v>494</v>
      </c>
      <c r="N72" s="455">
        <f t="shared" si="168"/>
        <v>484.5</v>
      </c>
      <c r="O72" s="455">
        <f t="shared" si="168"/>
        <v>475</v>
      </c>
      <c r="P72" s="455">
        <f t="shared" si="168"/>
        <v>465.5</v>
      </c>
      <c r="Q72" s="455">
        <f>SUM(Q69:Q71)</f>
        <v>456</v>
      </c>
      <c r="R72" s="455">
        <f t="shared" ref="R72:AO72" si="169">SUM(R69:R71)</f>
        <v>446.5</v>
      </c>
      <c r="S72" s="455">
        <f>SUM(S69:S71)</f>
        <v>17645.333333333332</v>
      </c>
      <c r="T72" s="455">
        <f t="shared" si="169"/>
        <v>17344.166666666668</v>
      </c>
      <c r="U72" s="455">
        <f t="shared" si="169"/>
        <v>17043</v>
      </c>
      <c r="V72" s="455">
        <f t="shared" si="169"/>
        <v>16741.833333333332</v>
      </c>
      <c r="W72" s="455">
        <f t="shared" si="169"/>
        <v>16440.666666666668</v>
      </c>
      <c r="X72" s="455">
        <f t="shared" si="169"/>
        <v>16139.5</v>
      </c>
      <c r="Y72" s="455">
        <f t="shared" si="169"/>
        <v>15838.333333333334</v>
      </c>
      <c r="Z72" s="455">
        <f t="shared" si="169"/>
        <v>15537.166666666666</v>
      </c>
      <c r="AA72" s="455">
        <f t="shared" si="169"/>
        <v>15236</v>
      </c>
      <c r="AB72" s="455">
        <f t="shared" si="169"/>
        <v>14934.833333333334</v>
      </c>
      <c r="AC72" s="455">
        <f t="shared" si="169"/>
        <v>14633.666666666666</v>
      </c>
      <c r="AD72" s="455">
        <f t="shared" si="169"/>
        <v>92999.166666666657</v>
      </c>
      <c r="AE72" s="455">
        <f t="shared" si="169"/>
        <v>91364.666666666657</v>
      </c>
      <c r="AF72" s="455">
        <f t="shared" si="169"/>
        <v>89730.166666666672</v>
      </c>
      <c r="AG72" s="455">
        <f t="shared" si="169"/>
        <v>88095.666666666657</v>
      </c>
      <c r="AH72" s="455">
        <f t="shared" si="169"/>
        <v>86461.166666666657</v>
      </c>
      <c r="AI72" s="455">
        <f t="shared" si="169"/>
        <v>84826.666666666672</v>
      </c>
      <c r="AJ72" s="455">
        <f t="shared" si="169"/>
        <v>83192.166666666657</v>
      </c>
      <c r="AK72" s="455">
        <f t="shared" si="169"/>
        <v>81557.666666666672</v>
      </c>
      <c r="AL72" s="455">
        <f t="shared" si="169"/>
        <v>79923.166666666672</v>
      </c>
      <c r="AM72" s="455">
        <f t="shared" si="169"/>
        <v>78288.666666666657</v>
      </c>
      <c r="AN72" s="455">
        <f t="shared" si="169"/>
        <v>76654.166666666657</v>
      </c>
      <c r="AO72" s="455">
        <f t="shared" si="169"/>
        <v>75019.666666666672</v>
      </c>
    </row>
    <row r="74" spans="1:41">
      <c r="B74" s="301" t="s">
        <v>77</v>
      </c>
      <c r="C74" s="301"/>
      <c r="D74" s="301"/>
      <c r="E74" s="301"/>
      <c r="F74" s="331">
        <f>+F72+F67</f>
        <v>953.83333333333326</v>
      </c>
      <c r="G74" s="331">
        <f>+G72+G67</f>
        <v>937.66666666666674</v>
      </c>
      <c r="H74" s="331">
        <f t="shared" ref="H74:P74" si="170">+H72+H67</f>
        <v>921.5</v>
      </c>
      <c r="I74" s="331">
        <f t="shared" si="170"/>
        <v>905.33333333333326</v>
      </c>
      <c r="J74" s="331">
        <f t="shared" si="170"/>
        <v>889.16666666666674</v>
      </c>
      <c r="K74" s="331">
        <f t="shared" si="170"/>
        <v>873</v>
      </c>
      <c r="L74" s="331">
        <f t="shared" si="170"/>
        <v>856.83333333333326</v>
      </c>
      <c r="M74" s="331">
        <f t="shared" si="170"/>
        <v>840.66666666666674</v>
      </c>
      <c r="N74" s="331">
        <f t="shared" si="170"/>
        <v>824.5</v>
      </c>
      <c r="O74" s="331">
        <f t="shared" si="170"/>
        <v>808.33333333333337</v>
      </c>
      <c r="P74" s="331">
        <f t="shared" si="170"/>
        <v>792.16666666666674</v>
      </c>
      <c r="Q74" s="331">
        <f>+Q72+Q67</f>
        <v>776</v>
      </c>
      <c r="R74" s="331">
        <f t="shared" ref="R74:AO74" si="171">+R72+R67</f>
        <v>759.83333333333326</v>
      </c>
      <c r="S74" s="331">
        <f>+S72+S67</f>
        <v>17952</v>
      </c>
      <c r="T74" s="331">
        <f t="shared" si="171"/>
        <v>17644.166666666668</v>
      </c>
      <c r="U74" s="331">
        <f t="shared" si="171"/>
        <v>17336.333333333332</v>
      </c>
      <c r="V74" s="331">
        <f t="shared" si="171"/>
        <v>17028.5</v>
      </c>
      <c r="W74" s="331">
        <f t="shared" si="171"/>
        <v>16720.666666666668</v>
      </c>
      <c r="X74" s="331">
        <f t="shared" si="171"/>
        <v>16412.833333333332</v>
      </c>
      <c r="Y74" s="331">
        <f t="shared" si="171"/>
        <v>16105</v>
      </c>
      <c r="Z74" s="331">
        <f t="shared" si="171"/>
        <v>15797.166666666666</v>
      </c>
      <c r="AA74" s="331">
        <f t="shared" si="171"/>
        <v>15489.333333333334</v>
      </c>
      <c r="AB74" s="331">
        <f t="shared" si="171"/>
        <v>15181.5</v>
      </c>
      <c r="AC74" s="331">
        <f t="shared" si="171"/>
        <v>14873.666666666666</v>
      </c>
      <c r="AD74" s="331">
        <f t="shared" si="171"/>
        <v>93232.499999999985</v>
      </c>
      <c r="AE74" s="331">
        <f t="shared" si="171"/>
        <v>91591.333333333328</v>
      </c>
      <c r="AF74" s="331">
        <f t="shared" si="171"/>
        <v>89950.166666666672</v>
      </c>
      <c r="AG74" s="331">
        <f t="shared" si="171"/>
        <v>88308.999999999985</v>
      </c>
      <c r="AH74" s="331">
        <f t="shared" si="171"/>
        <v>86667.833333333328</v>
      </c>
      <c r="AI74" s="331">
        <f t="shared" si="171"/>
        <v>85026.666666666672</v>
      </c>
      <c r="AJ74" s="331">
        <f t="shared" si="171"/>
        <v>83385.499999999985</v>
      </c>
      <c r="AK74" s="331">
        <f t="shared" si="171"/>
        <v>81744.333333333343</v>
      </c>
      <c r="AL74" s="331">
        <f t="shared" si="171"/>
        <v>80103.166666666672</v>
      </c>
      <c r="AM74" s="331">
        <f t="shared" si="171"/>
        <v>78461.999999999985</v>
      </c>
      <c r="AN74" s="331">
        <f t="shared" si="171"/>
        <v>76820.833333333328</v>
      </c>
      <c r="AO74" s="331">
        <f t="shared" si="171"/>
        <v>75179.666666666672</v>
      </c>
    </row>
    <row r="75" spans="1:41">
      <c r="B75" s="7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</row>
    <row r="76" spans="1:41">
      <c r="B76" s="7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</row>
    <row r="77" spans="1:41">
      <c r="B77" s="7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</row>
    <row r="79" spans="1:41" s="39" customFormat="1">
      <c r="A79" s="167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</row>
    <row r="80" spans="1:41">
      <c r="B80" s="68"/>
      <c r="C80" s="111"/>
      <c r="D80" s="111"/>
      <c r="E80" s="111"/>
    </row>
    <row r="81" spans="2:5">
      <c r="B81" s="68"/>
      <c r="C81" s="111"/>
      <c r="D81" s="111"/>
      <c r="E81" s="111"/>
    </row>
    <row r="82" spans="2:5">
      <c r="B82" s="68"/>
      <c r="C82" s="111"/>
      <c r="D82" s="111"/>
      <c r="E82" s="111"/>
    </row>
    <row r="83" spans="2:5">
      <c r="B83" s="68"/>
      <c r="C83" s="111"/>
      <c r="D83" s="111"/>
      <c r="E83" s="111"/>
    </row>
    <row r="84" spans="2:5">
      <c r="B84" s="68"/>
      <c r="C84" s="111"/>
      <c r="D84" s="111"/>
      <c r="E84" s="111"/>
    </row>
    <row r="85" spans="2:5">
      <c r="B85" s="68"/>
      <c r="C85" s="111"/>
      <c r="D85" s="111"/>
      <c r="E85" s="111"/>
    </row>
    <row r="86" spans="2:5">
      <c r="B86" s="68"/>
      <c r="C86" s="111"/>
      <c r="D86" s="111"/>
      <c r="E86" s="111"/>
    </row>
    <row r="87" spans="2:5">
      <c r="B87" s="68"/>
      <c r="C87" s="111"/>
      <c r="D87" s="111"/>
      <c r="E87" s="111"/>
    </row>
    <row r="88" spans="2:5">
      <c r="B88" s="68"/>
      <c r="C88" s="111"/>
      <c r="D88" s="111"/>
      <c r="E88" s="111"/>
    </row>
    <row r="89" spans="2:5">
      <c r="B89" s="68"/>
      <c r="C89" s="111"/>
      <c r="D89" s="111"/>
      <c r="E89" s="111"/>
    </row>
    <row r="90" spans="2:5">
      <c r="B90" s="68"/>
      <c r="C90" s="111"/>
      <c r="D90" s="111"/>
      <c r="E90" s="111"/>
    </row>
    <row r="91" spans="2:5">
      <c r="B91" s="68"/>
      <c r="C91" s="111"/>
      <c r="D91" s="111"/>
      <c r="E91" s="111"/>
    </row>
    <row r="92" spans="2:5">
      <c r="B92" s="68"/>
      <c r="C92" s="111"/>
      <c r="D92" s="111"/>
      <c r="E92" s="111"/>
    </row>
    <row r="93" spans="2:5">
      <c r="B93" s="68"/>
      <c r="C93" s="111"/>
      <c r="D93" s="111"/>
      <c r="E93" s="111"/>
    </row>
    <row r="94" spans="2:5">
      <c r="B94" s="68"/>
      <c r="C94" s="111"/>
      <c r="D94" s="111"/>
      <c r="E94" s="111"/>
    </row>
    <row r="95" spans="2:5">
      <c r="B95" s="68"/>
      <c r="C95" s="111"/>
      <c r="D95" s="111"/>
      <c r="E95" s="111"/>
    </row>
    <row r="96" spans="2:5">
      <c r="B96" s="68"/>
      <c r="C96" s="111"/>
      <c r="D96" s="111"/>
      <c r="E96" s="111"/>
    </row>
    <row r="97" spans="2:5">
      <c r="B97" s="68"/>
      <c r="C97" s="111"/>
      <c r="D97" s="111"/>
      <c r="E97" s="111"/>
    </row>
    <row r="98" spans="2:5">
      <c r="B98" s="68"/>
      <c r="C98" s="111"/>
      <c r="D98" s="111"/>
      <c r="E98" s="111"/>
    </row>
    <row r="99" spans="2:5">
      <c r="B99" s="68"/>
      <c r="C99" s="111"/>
      <c r="D99" s="111"/>
      <c r="E99" s="111"/>
    </row>
    <row r="100" spans="2:5">
      <c r="B100" s="68"/>
      <c r="C100" s="111"/>
      <c r="D100" s="111"/>
      <c r="E100" s="111"/>
    </row>
    <row r="101" spans="2:5">
      <c r="B101" s="68"/>
      <c r="C101" s="111"/>
      <c r="D101" s="111"/>
      <c r="E101" s="111"/>
    </row>
    <row r="102" spans="2:5">
      <c r="B102" s="68"/>
      <c r="C102" s="111"/>
      <c r="D102" s="111"/>
      <c r="E102" s="111"/>
    </row>
    <row r="103" spans="2:5">
      <c r="B103" s="68"/>
      <c r="C103" s="111"/>
      <c r="D103" s="111"/>
      <c r="E103" s="111"/>
    </row>
    <row r="104" spans="2:5">
      <c r="B104" s="68"/>
      <c r="C104" s="111"/>
      <c r="D104" s="111"/>
      <c r="E104" s="111"/>
    </row>
    <row r="105" spans="2:5">
      <c r="B105" s="68"/>
      <c r="C105" s="111"/>
      <c r="D105" s="111"/>
      <c r="E105" s="111"/>
    </row>
    <row r="106" spans="2:5">
      <c r="B106" s="68"/>
      <c r="C106" s="111"/>
      <c r="D106" s="111"/>
      <c r="E106" s="111"/>
    </row>
    <row r="107" spans="2:5">
      <c r="B107" s="68"/>
      <c r="C107" s="111"/>
      <c r="D107" s="111"/>
      <c r="E107" s="111"/>
    </row>
    <row r="108" spans="2:5">
      <c r="B108" s="68"/>
      <c r="C108" s="111"/>
      <c r="D108" s="111"/>
      <c r="E108" s="111"/>
    </row>
    <row r="109" spans="2:5">
      <c r="B109" s="68"/>
      <c r="C109" s="111"/>
      <c r="D109" s="111"/>
      <c r="E109" s="111"/>
    </row>
    <row r="110" spans="2:5">
      <c r="B110" s="68"/>
      <c r="C110" s="111"/>
      <c r="D110" s="111"/>
      <c r="E110" s="111"/>
    </row>
    <row r="111" spans="2:5">
      <c r="B111" s="68"/>
      <c r="C111" s="111"/>
      <c r="D111" s="111"/>
      <c r="E111" s="111"/>
    </row>
    <row r="112" spans="2:5">
      <c r="B112" s="68"/>
      <c r="C112" s="111"/>
      <c r="D112" s="111"/>
      <c r="E112" s="111"/>
    </row>
    <row r="113" spans="1:41">
      <c r="B113" s="68"/>
      <c r="C113" s="111"/>
      <c r="D113" s="111"/>
      <c r="E113" s="111"/>
    </row>
    <row r="114" spans="1:41">
      <c r="B114" s="68"/>
      <c r="C114" s="111"/>
      <c r="D114" s="111"/>
      <c r="E114" s="111"/>
    </row>
    <row r="117" spans="1:41" s="12" customFormat="1">
      <c r="A117" s="101">
        <v>2</v>
      </c>
      <c r="B117" s="94" t="s">
        <v>38</v>
      </c>
      <c r="C117" s="96"/>
      <c r="D117" s="96"/>
      <c r="E117" s="96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</row>
    <row r="120" spans="1:41" ht="16" thickBot="1">
      <c r="B120" s="168" t="s">
        <v>23</v>
      </c>
      <c r="C120" s="169"/>
      <c r="D120" s="170"/>
      <c r="E120" s="170"/>
    </row>
    <row r="122" spans="1:41">
      <c r="B122" s="171" t="s">
        <v>39</v>
      </c>
      <c r="C122" s="172"/>
      <c r="D122" s="172"/>
      <c r="E122" s="172"/>
    </row>
    <row r="124" spans="1:41">
      <c r="B124" s="68" t="s">
        <v>40</v>
      </c>
    </row>
    <row r="125" spans="1:41">
      <c r="B125" s="68" t="s">
        <v>41</v>
      </c>
    </row>
    <row r="126" spans="1:41">
      <c r="B126" s="68" t="s">
        <v>43</v>
      </c>
    </row>
    <row r="127" spans="1:41">
      <c r="B127" s="68" t="s">
        <v>44</v>
      </c>
    </row>
    <row r="128" spans="1:41">
      <c r="B128" s="68" t="s">
        <v>45</v>
      </c>
    </row>
    <row r="129" spans="2:5">
      <c r="B129" s="68" t="s">
        <v>46</v>
      </c>
    </row>
    <row r="130" spans="2:5">
      <c r="B130" s="68"/>
    </row>
    <row r="131" spans="2:5">
      <c r="B131" s="68"/>
    </row>
    <row r="132" spans="2:5">
      <c r="B132" s="68"/>
    </row>
    <row r="133" spans="2:5">
      <c r="B133" s="68"/>
    </row>
    <row r="134" spans="2:5">
      <c r="B134" s="171" t="s">
        <v>47</v>
      </c>
      <c r="C134" s="172"/>
      <c r="D134" s="172"/>
      <c r="E134" s="172"/>
    </row>
    <row r="135" spans="2:5">
      <c r="B135" s="68"/>
    </row>
    <row r="136" spans="2:5">
      <c r="B136" s="68" t="s">
        <v>48</v>
      </c>
    </row>
    <row r="137" spans="2:5">
      <c r="B137" s="68" t="s">
        <v>49</v>
      </c>
    </row>
    <row r="138" spans="2:5">
      <c r="B138" s="68" t="s">
        <v>50</v>
      </c>
    </row>
    <row r="139" spans="2:5">
      <c r="B139" s="68" t="s">
        <v>51</v>
      </c>
    </row>
    <row r="140" spans="2:5">
      <c r="B140" s="68"/>
    </row>
    <row r="141" spans="2:5">
      <c r="B141" s="68"/>
    </row>
    <row r="142" spans="2:5">
      <c r="B142" s="171" t="s">
        <v>52</v>
      </c>
      <c r="C142" s="172"/>
      <c r="D142" s="172"/>
      <c r="E142" s="172"/>
    </row>
    <row r="143" spans="2:5">
      <c r="B143" s="68"/>
    </row>
    <row r="144" spans="2:5">
      <c r="B144" s="68" t="s">
        <v>53</v>
      </c>
    </row>
    <row r="145" spans="2:5">
      <c r="B145" s="68" t="s">
        <v>54</v>
      </c>
    </row>
    <row r="146" spans="2:5">
      <c r="B146" s="68" t="s">
        <v>55</v>
      </c>
    </row>
    <row r="147" spans="2:5">
      <c r="B147" s="68" t="s">
        <v>56</v>
      </c>
    </row>
    <row r="148" spans="2:5">
      <c r="B148" s="68" t="s">
        <v>66</v>
      </c>
    </row>
    <row r="151" spans="2:5">
      <c r="B151" s="171" t="s">
        <v>57</v>
      </c>
      <c r="C151" s="172"/>
      <c r="D151" s="172"/>
      <c r="E151" s="172"/>
    </row>
    <row r="152" spans="2:5">
      <c r="B152" s="68"/>
    </row>
    <row r="153" spans="2:5">
      <c r="B153" s="68" t="s">
        <v>53</v>
      </c>
    </row>
    <row r="154" spans="2:5">
      <c r="B154" s="68" t="s">
        <v>54</v>
      </c>
    </row>
    <row r="155" spans="2:5">
      <c r="B155" s="68" t="s">
        <v>55</v>
      </c>
    </row>
    <row r="156" spans="2:5">
      <c r="B156" s="68" t="s">
        <v>56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6D6F-0D24-064F-B90E-F469D1FA67F8}">
  <sheetPr>
    <tabColor theme="5"/>
  </sheetPr>
  <dimension ref="A1:AO156"/>
  <sheetViews>
    <sheetView showGridLines="0" zoomScaleNormal="80" workbookViewId="0">
      <pane xSplit="5" topLeftCell="F1" activePane="topRight" state="frozen"/>
      <selection pane="topRight" activeCell="J81" sqref="J81"/>
    </sheetView>
  </sheetViews>
  <sheetFormatPr baseColWidth="10" defaultColWidth="8.83203125" defaultRowHeight="15"/>
  <cols>
    <col min="1" max="1" width="2" style="59" customWidth="1"/>
    <col min="2" max="2" width="32.83203125" style="58" customWidth="1"/>
    <col min="3" max="5" width="9.5" style="59" customWidth="1"/>
    <col min="6" max="41" width="12.33203125" style="58" customWidth="1"/>
    <col min="42" max="16384" width="8.83203125" style="16"/>
  </cols>
  <sheetData>
    <row r="1" spans="1:41" s="323" customFormat="1" ht="16">
      <c r="A1" s="297" t="s">
        <v>507</v>
      </c>
      <c r="B1" s="298"/>
      <c r="C1" s="299"/>
      <c r="D1" s="299"/>
      <c r="E1" s="299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</row>
    <row r="2" spans="1:41" s="119" customFormat="1" ht="16">
      <c r="A2" s="126"/>
      <c r="C2" s="166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</row>
    <row r="3" spans="1:41" s="119" customFormat="1" ht="16">
      <c r="A3" s="126"/>
      <c r="B3" s="176" t="s">
        <v>534</v>
      </c>
      <c r="C3" s="166"/>
      <c r="D3" s="127"/>
      <c r="E3" s="127"/>
      <c r="F3" s="163">
        <f>'Revenue &amp; COGS Building'!O12</f>
        <v>46053</v>
      </c>
      <c r="G3" s="163">
        <f>'Revenue &amp; COGS Building'!P12</f>
        <v>46054</v>
      </c>
      <c r="H3" s="163">
        <f>'Revenue &amp; COGS Building'!Q12</f>
        <v>46082</v>
      </c>
      <c r="I3" s="163">
        <f>'Revenue &amp; COGS Building'!R12</f>
        <v>46113</v>
      </c>
      <c r="J3" s="163">
        <f>'Revenue &amp; COGS Building'!S12</f>
        <v>46143</v>
      </c>
      <c r="K3" s="163">
        <f>'Revenue &amp; COGS Building'!T12</f>
        <v>46174</v>
      </c>
      <c r="L3" s="163">
        <f>'Revenue &amp; COGS Building'!U12</f>
        <v>46204</v>
      </c>
      <c r="M3" s="163">
        <f>'Revenue &amp; COGS Building'!V12</f>
        <v>46235</v>
      </c>
      <c r="N3" s="163">
        <f>'Revenue &amp; COGS Building'!W12</f>
        <v>46266</v>
      </c>
      <c r="O3" s="163">
        <f>'Revenue &amp; COGS Building'!X12</f>
        <v>46296</v>
      </c>
      <c r="P3" s="163">
        <f>'Revenue &amp; COGS Building'!Y12</f>
        <v>46327</v>
      </c>
      <c r="Q3" s="163">
        <f>'Revenue &amp; COGS Building'!Z12</f>
        <v>46357</v>
      </c>
      <c r="R3" s="163">
        <f>'Revenue &amp; COGS Building'!AA12</f>
        <v>46388</v>
      </c>
      <c r="S3" s="163">
        <f>'Revenue &amp; COGS Building'!AB12</f>
        <v>46419</v>
      </c>
      <c r="T3" s="163">
        <f>'Revenue &amp; COGS Building'!AC12</f>
        <v>46447</v>
      </c>
      <c r="U3" s="163">
        <f>'Revenue &amp; COGS Building'!AD12</f>
        <v>46478</v>
      </c>
      <c r="V3" s="163">
        <f>'Revenue &amp; COGS Building'!AE12</f>
        <v>46508</v>
      </c>
      <c r="W3" s="163">
        <f>'Revenue &amp; COGS Building'!AF12</f>
        <v>46539</v>
      </c>
      <c r="X3" s="163">
        <f>'Revenue &amp; COGS Building'!AG12</f>
        <v>46569</v>
      </c>
      <c r="Y3" s="163">
        <f>'Revenue &amp; COGS Building'!AH12</f>
        <v>46600</v>
      </c>
      <c r="Z3" s="163">
        <f>'Revenue &amp; COGS Building'!AI12</f>
        <v>46631</v>
      </c>
      <c r="AA3" s="163">
        <f>'Revenue &amp; COGS Building'!AJ12</f>
        <v>46661</v>
      </c>
      <c r="AB3" s="163">
        <f>'Revenue &amp; COGS Building'!AK12</f>
        <v>46692</v>
      </c>
      <c r="AC3" s="163">
        <f>'Revenue &amp; COGS Building'!AL12</f>
        <v>46722</v>
      </c>
      <c r="AD3" s="163">
        <f>'Revenue &amp; COGS Building'!AM12</f>
        <v>46753</v>
      </c>
      <c r="AE3" s="163">
        <f>'Revenue &amp; COGS Building'!AN12</f>
        <v>46784</v>
      </c>
      <c r="AF3" s="163">
        <f>'Revenue &amp; COGS Building'!AO12</f>
        <v>46813</v>
      </c>
      <c r="AG3" s="163">
        <f>'Revenue &amp; COGS Building'!AP12</f>
        <v>46844</v>
      </c>
      <c r="AH3" s="163">
        <f>'Revenue &amp; COGS Building'!AQ12</f>
        <v>46874</v>
      </c>
      <c r="AI3" s="163">
        <f>'Revenue &amp; COGS Building'!AR12</f>
        <v>46905</v>
      </c>
      <c r="AJ3" s="163">
        <f>'Revenue &amp; COGS Building'!AS12</f>
        <v>46935</v>
      </c>
      <c r="AK3" s="163">
        <f>'Revenue &amp; COGS Building'!AT12</f>
        <v>46966</v>
      </c>
      <c r="AL3" s="163">
        <f>'Revenue &amp; COGS Building'!AU12</f>
        <v>46997</v>
      </c>
      <c r="AM3" s="163">
        <f>'Revenue &amp; COGS Building'!AV12</f>
        <v>47027</v>
      </c>
      <c r="AN3" s="163">
        <f>'Revenue &amp; COGS Building'!AW12</f>
        <v>47058</v>
      </c>
      <c r="AO3" s="163">
        <f>'Revenue &amp; COGS Building'!AX12</f>
        <v>47088</v>
      </c>
    </row>
    <row r="4" spans="1:41">
      <c r="B4" s="200" t="s">
        <v>532</v>
      </c>
      <c r="F4" s="428">
        <f>'Revenue &amp; COGS Building'!O13</f>
        <v>1</v>
      </c>
      <c r="G4" s="428">
        <f>'Revenue &amp; COGS Building'!P13</f>
        <v>2</v>
      </c>
      <c r="H4" s="428">
        <f>'Revenue &amp; COGS Building'!Q13</f>
        <v>3</v>
      </c>
      <c r="I4" s="428">
        <f>'Revenue &amp; COGS Building'!R13</f>
        <v>4</v>
      </c>
      <c r="J4" s="428">
        <f>'Revenue &amp; COGS Building'!S13</f>
        <v>5</v>
      </c>
      <c r="K4" s="428">
        <f>'Revenue &amp; COGS Building'!T13</f>
        <v>6</v>
      </c>
      <c r="L4" s="428">
        <f>'Revenue &amp; COGS Building'!U13</f>
        <v>7</v>
      </c>
      <c r="M4" s="428">
        <f>'Revenue &amp; COGS Building'!V13</f>
        <v>8</v>
      </c>
      <c r="N4" s="428">
        <f>'Revenue &amp; COGS Building'!W13</f>
        <v>9</v>
      </c>
      <c r="O4" s="428">
        <f>'Revenue &amp; COGS Building'!X13</f>
        <v>10</v>
      </c>
      <c r="P4" s="428">
        <f>'Revenue &amp; COGS Building'!Y13</f>
        <v>11</v>
      </c>
      <c r="Q4" s="428">
        <f>'Revenue &amp; COGS Building'!Z13</f>
        <v>12</v>
      </c>
      <c r="R4" s="428">
        <f>'Revenue &amp; COGS Building'!AA13</f>
        <v>13</v>
      </c>
      <c r="S4" s="428">
        <f>'Revenue &amp; COGS Building'!AB13</f>
        <v>14</v>
      </c>
      <c r="T4" s="428">
        <f>'Revenue &amp; COGS Building'!AC13</f>
        <v>15</v>
      </c>
      <c r="U4" s="428">
        <f>'Revenue &amp; COGS Building'!AD13</f>
        <v>16</v>
      </c>
      <c r="V4" s="428">
        <f>'Revenue &amp; COGS Building'!AE13</f>
        <v>17</v>
      </c>
      <c r="W4" s="428">
        <f>'Revenue &amp; COGS Building'!AF13</f>
        <v>18</v>
      </c>
      <c r="X4" s="428">
        <f>'Revenue &amp; COGS Building'!AG13</f>
        <v>19</v>
      </c>
      <c r="Y4" s="428">
        <f>'Revenue &amp; COGS Building'!AH13</f>
        <v>20</v>
      </c>
      <c r="Z4" s="428">
        <f>'Revenue &amp; COGS Building'!AI13</f>
        <v>21</v>
      </c>
      <c r="AA4" s="428">
        <f>'Revenue &amp; COGS Building'!AJ13</f>
        <v>22</v>
      </c>
      <c r="AB4" s="428">
        <f>'Revenue &amp; COGS Building'!AK13</f>
        <v>23</v>
      </c>
      <c r="AC4" s="428">
        <f>'Revenue &amp; COGS Building'!AL13</f>
        <v>24</v>
      </c>
      <c r="AD4" s="428">
        <f>'Revenue &amp; COGS Building'!AM13</f>
        <v>25</v>
      </c>
      <c r="AE4" s="428">
        <f>'Revenue &amp; COGS Building'!AN13</f>
        <v>26</v>
      </c>
      <c r="AF4" s="428">
        <f>'Revenue &amp; COGS Building'!AO13</f>
        <v>27</v>
      </c>
      <c r="AG4" s="428">
        <f>'Revenue &amp; COGS Building'!AP13</f>
        <v>28</v>
      </c>
      <c r="AH4" s="428">
        <f>'Revenue &amp; COGS Building'!AQ13</f>
        <v>29</v>
      </c>
      <c r="AI4" s="428">
        <f>'Revenue &amp; COGS Building'!AR13</f>
        <v>30</v>
      </c>
      <c r="AJ4" s="428">
        <f>'Revenue &amp; COGS Building'!AS13</f>
        <v>31</v>
      </c>
      <c r="AK4" s="428">
        <f>'Revenue &amp; COGS Building'!AT13</f>
        <v>32</v>
      </c>
      <c r="AL4" s="428">
        <f>'Revenue &amp; COGS Building'!AU13</f>
        <v>33</v>
      </c>
      <c r="AM4" s="428">
        <f>'Revenue &amp; COGS Building'!AV13</f>
        <v>34</v>
      </c>
      <c r="AN4" s="428">
        <f>'Revenue &amp; COGS Building'!AW13</f>
        <v>35</v>
      </c>
      <c r="AO4" s="428">
        <f>'Revenue &amp; COGS Building'!AX13</f>
        <v>36</v>
      </c>
    </row>
    <row r="5" spans="1:41">
      <c r="B5" s="200" t="s">
        <v>533</v>
      </c>
      <c r="F5" s="428">
        <f>'Revenue &amp; COGS Building'!O14</f>
        <v>1</v>
      </c>
      <c r="G5" s="428">
        <f>'Revenue &amp; COGS Building'!P14</f>
        <v>1</v>
      </c>
      <c r="H5" s="428">
        <f>'Revenue &amp; COGS Building'!Q14</f>
        <v>1</v>
      </c>
      <c r="I5" s="428">
        <f>'Revenue &amp; COGS Building'!R14</f>
        <v>1</v>
      </c>
      <c r="J5" s="428">
        <f>'Revenue &amp; COGS Building'!S14</f>
        <v>1</v>
      </c>
      <c r="K5" s="428">
        <f>'Revenue &amp; COGS Building'!T14</f>
        <v>1</v>
      </c>
      <c r="L5" s="428">
        <f>'Revenue &amp; COGS Building'!U14</f>
        <v>1</v>
      </c>
      <c r="M5" s="428">
        <f>'Revenue &amp; COGS Building'!V14</f>
        <v>1</v>
      </c>
      <c r="N5" s="428">
        <f>'Revenue &amp; COGS Building'!W14</f>
        <v>1</v>
      </c>
      <c r="O5" s="428">
        <f>'Revenue &amp; COGS Building'!X14</f>
        <v>1</v>
      </c>
      <c r="P5" s="428">
        <f>'Revenue &amp; COGS Building'!Y14</f>
        <v>1</v>
      </c>
      <c r="Q5" s="428">
        <f>'Revenue &amp; COGS Building'!Z14</f>
        <v>1</v>
      </c>
      <c r="R5" s="428">
        <f>'Revenue &amp; COGS Building'!AA14</f>
        <v>2</v>
      </c>
      <c r="S5" s="428">
        <f>'Revenue &amp; COGS Building'!AB14</f>
        <v>2</v>
      </c>
      <c r="T5" s="428">
        <f>'Revenue &amp; COGS Building'!AC14</f>
        <v>2</v>
      </c>
      <c r="U5" s="428">
        <f>'Revenue &amp; COGS Building'!AD14</f>
        <v>2</v>
      </c>
      <c r="V5" s="428">
        <f>'Revenue &amp; COGS Building'!AE14</f>
        <v>2</v>
      </c>
      <c r="W5" s="428">
        <f>'Revenue &amp; COGS Building'!AF14</f>
        <v>2</v>
      </c>
      <c r="X5" s="428">
        <f>'Revenue &amp; COGS Building'!AG14</f>
        <v>2</v>
      </c>
      <c r="Y5" s="428">
        <f>'Revenue &amp; COGS Building'!AH14</f>
        <v>2</v>
      </c>
      <c r="Z5" s="428">
        <f>'Revenue &amp; COGS Building'!AI14</f>
        <v>2</v>
      </c>
      <c r="AA5" s="428">
        <f>'Revenue &amp; COGS Building'!AJ14</f>
        <v>2</v>
      </c>
      <c r="AB5" s="428">
        <f>'Revenue &amp; COGS Building'!AK14</f>
        <v>2</v>
      </c>
      <c r="AC5" s="428">
        <f>'Revenue &amp; COGS Building'!AL14</f>
        <v>2</v>
      </c>
      <c r="AD5" s="428">
        <f>'Revenue &amp; COGS Building'!AM14</f>
        <v>3</v>
      </c>
      <c r="AE5" s="428">
        <f>'Revenue &amp; COGS Building'!AN14</f>
        <v>3</v>
      </c>
      <c r="AF5" s="428">
        <f>'Revenue &amp; COGS Building'!AO14</f>
        <v>3</v>
      </c>
      <c r="AG5" s="428">
        <f>'Revenue &amp; COGS Building'!AP14</f>
        <v>3</v>
      </c>
      <c r="AH5" s="428">
        <f>'Revenue &amp; COGS Building'!AQ14</f>
        <v>3</v>
      </c>
      <c r="AI5" s="428">
        <f>'Revenue &amp; COGS Building'!AR14</f>
        <v>3</v>
      </c>
      <c r="AJ5" s="428">
        <f>'Revenue &amp; COGS Building'!AS14</f>
        <v>3</v>
      </c>
      <c r="AK5" s="428">
        <f>'Revenue &amp; COGS Building'!AT14</f>
        <v>3</v>
      </c>
      <c r="AL5" s="428">
        <f>'Revenue &amp; COGS Building'!AU14</f>
        <v>3</v>
      </c>
      <c r="AM5" s="428">
        <f>'Revenue &amp; COGS Building'!AV14</f>
        <v>3</v>
      </c>
      <c r="AN5" s="428">
        <f>'Revenue &amp; COGS Building'!AW14</f>
        <v>3</v>
      </c>
      <c r="AO5" s="428">
        <f>'Revenue &amp; COGS Building'!AX14</f>
        <v>3</v>
      </c>
    </row>
    <row r="6" spans="1:41" s="11" customFormat="1" ht="28" thickBot="1">
      <c r="A6" s="65"/>
      <c r="B6" s="341" t="s">
        <v>506</v>
      </c>
      <c r="C6" s="345" t="s">
        <v>74</v>
      </c>
      <c r="D6" s="345" t="s">
        <v>550</v>
      </c>
      <c r="E6" s="341">
        <f>'Historicals &amp; Projections'!D6</f>
        <v>2025</v>
      </c>
      <c r="F6" s="341">
        <f>'Revenue &amp; COGS Building'!O15</f>
        <v>2026</v>
      </c>
      <c r="G6" s="341">
        <f>'Revenue &amp; COGS Building'!P15</f>
        <v>2026</v>
      </c>
      <c r="H6" s="341">
        <f>'Revenue &amp; COGS Building'!Q15</f>
        <v>2026</v>
      </c>
      <c r="I6" s="341">
        <f>'Revenue &amp; COGS Building'!R15</f>
        <v>2026</v>
      </c>
      <c r="J6" s="341">
        <f>'Revenue &amp; COGS Building'!S15</f>
        <v>2026</v>
      </c>
      <c r="K6" s="341">
        <f>'Revenue &amp; COGS Building'!T15</f>
        <v>2026</v>
      </c>
      <c r="L6" s="341">
        <f>'Revenue &amp; COGS Building'!U15</f>
        <v>2026</v>
      </c>
      <c r="M6" s="341">
        <f>'Revenue &amp; COGS Building'!V15</f>
        <v>2026</v>
      </c>
      <c r="N6" s="341">
        <f>'Revenue &amp; COGS Building'!W15</f>
        <v>2026</v>
      </c>
      <c r="O6" s="341">
        <f>'Revenue &amp; COGS Building'!X15</f>
        <v>2026</v>
      </c>
      <c r="P6" s="341">
        <f>'Revenue &amp; COGS Building'!Y15</f>
        <v>2026</v>
      </c>
      <c r="Q6" s="341">
        <f>'Revenue &amp; COGS Building'!Z15</f>
        <v>2026</v>
      </c>
      <c r="R6" s="341">
        <f>'Revenue &amp; COGS Building'!AA15</f>
        <v>2027</v>
      </c>
      <c r="S6" s="341">
        <f>'Revenue &amp; COGS Building'!AB15</f>
        <v>2027</v>
      </c>
      <c r="T6" s="341">
        <f>'Revenue &amp; COGS Building'!AC15</f>
        <v>2027</v>
      </c>
      <c r="U6" s="341">
        <f>'Revenue &amp; COGS Building'!AD15</f>
        <v>2027</v>
      </c>
      <c r="V6" s="341">
        <f>'Revenue &amp; COGS Building'!AE15</f>
        <v>2027</v>
      </c>
      <c r="W6" s="341">
        <f>'Revenue &amp; COGS Building'!AF15</f>
        <v>2027</v>
      </c>
      <c r="X6" s="341">
        <f>'Revenue &amp; COGS Building'!AG15</f>
        <v>2027</v>
      </c>
      <c r="Y6" s="341">
        <f>'Revenue &amp; COGS Building'!AH15</f>
        <v>2027</v>
      </c>
      <c r="Z6" s="341">
        <f>'Revenue &amp; COGS Building'!AI15</f>
        <v>2027</v>
      </c>
      <c r="AA6" s="341">
        <f>'Revenue &amp; COGS Building'!AJ15</f>
        <v>2027</v>
      </c>
      <c r="AB6" s="341">
        <f>'Revenue &amp; COGS Building'!AK15</f>
        <v>2027</v>
      </c>
      <c r="AC6" s="341">
        <f>'Revenue &amp; COGS Building'!AL15</f>
        <v>2027</v>
      </c>
      <c r="AD6" s="341">
        <f>'Revenue &amp; COGS Building'!AM15</f>
        <v>2028</v>
      </c>
      <c r="AE6" s="341">
        <f>'Revenue &amp; COGS Building'!AN15</f>
        <v>2028</v>
      </c>
      <c r="AF6" s="341">
        <f>'Revenue &amp; COGS Building'!AO15</f>
        <v>2028</v>
      </c>
      <c r="AG6" s="341">
        <f>'Revenue &amp; COGS Building'!AP15</f>
        <v>2028</v>
      </c>
      <c r="AH6" s="341">
        <f>'Revenue &amp; COGS Building'!AQ15</f>
        <v>2028</v>
      </c>
      <c r="AI6" s="341">
        <f>'Revenue &amp; COGS Building'!AR15</f>
        <v>2028</v>
      </c>
      <c r="AJ6" s="341">
        <f>'Revenue &amp; COGS Building'!AS15</f>
        <v>2028</v>
      </c>
      <c r="AK6" s="341">
        <f>'Revenue &amp; COGS Building'!AT15</f>
        <v>2028</v>
      </c>
      <c r="AL6" s="341">
        <f>'Revenue &amp; COGS Building'!AU15</f>
        <v>2028</v>
      </c>
      <c r="AM6" s="341">
        <f>'Revenue &amp; COGS Building'!AV15</f>
        <v>2028</v>
      </c>
      <c r="AN6" s="341">
        <f>'Revenue &amp; COGS Building'!AW15</f>
        <v>2028</v>
      </c>
      <c r="AO6" s="341">
        <f>'Revenue &amp; COGS Building'!AX15</f>
        <v>2028</v>
      </c>
    </row>
    <row r="7" spans="1:41" s="11" customFormat="1">
      <c r="A7" s="65"/>
      <c r="B7" s="69"/>
      <c r="C7" s="69"/>
      <c r="D7" s="69"/>
      <c r="E7" s="69"/>
      <c r="F7" s="58"/>
      <c r="G7" s="58"/>
      <c r="H7" s="12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s="11" customFormat="1">
      <c r="A8" s="65"/>
      <c r="B8" s="130" t="s">
        <v>14</v>
      </c>
      <c r="C8" s="477">
        <v>5</v>
      </c>
      <c r="D8" s="478">
        <f>(1/C8%/100)/Assumptions!$C$6</f>
        <v>1.6666666666666666E-2</v>
      </c>
      <c r="E8" s="72"/>
      <c r="F8" s="457">
        <f>E9</f>
        <v>200</v>
      </c>
      <c r="G8" s="457"/>
      <c r="H8" s="457"/>
      <c r="I8" s="457"/>
      <c r="J8" s="457"/>
      <c r="K8" s="457"/>
      <c r="L8" s="457"/>
      <c r="M8" s="457"/>
      <c r="N8" s="457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457"/>
      <c r="AF8" s="457"/>
      <c r="AG8" s="457"/>
      <c r="AH8" s="457"/>
      <c r="AI8" s="457"/>
      <c r="AJ8" s="457"/>
      <c r="AK8" s="457"/>
      <c r="AL8" s="457"/>
      <c r="AM8" s="457"/>
      <c r="AN8" s="457"/>
      <c r="AO8" s="457"/>
    </row>
    <row r="9" spans="1:41" s="11" customFormat="1">
      <c r="A9" s="65"/>
      <c r="B9" s="72" t="s">
        <v>75</v>
      </c>
      <c r="C9" s="72"/>
      <c r="D9" s="72"/>
      <c r="E9" s="480">
        <f>'Historicals &amp; Projections'!D14</f>
        <v>200</v>
      </c>
      <c r="F9" s="455">
        <f>SUM(F8:F8)</f>
        <v>200</v>
      </c>
      <c r="G9" s="455">
        <f>SUM(G8:G8)</f>
        <v>0</v>
      </c>
      <c r="H9" s="455">
        <f>SUM(H8:H8)</f>
        <v>0</v>
      </c>
      <c r="I9" s="455">
        <f>SUM(I8:I8)</f>
        <v>0</v>
      </c>
      <c r="J9" s="455">
        <f>SUM(J8:J8)</f>
        <v>0</v>
      </c>
      <c r="K9" s="455">
        <f t="shared" ref="K9:Q9" si="0">SUM(K8:K8)</f>
        <v>0</v>
      </c>
      <c r="L9" s="455">
        <f t="shared" si="0"/>
        <v>0</v>
      </c>
      <c r="M9" s="455">
        <f t="shared" si="0"/>
        <v>0</v>
      </c>
      <c r="N9" s="455">
        <f t="shared" si="0"/>
        <v>0</v>
      </c>
      <c r="O9" s="455">
        <f t="shared" si="0"/>
        <v>0</v>
      </c>
      <c r="P9" s="455">
        <f t="shared" si="0"/>
        <v>0</v>
      </c>
      <c r="Q9" s="455">
        <f t="shared" si="0"/>
        <v>0</v>
      </c>
      <c r="R9" s="455">
        <f t="shared" ref="R9:AO9" si="1">SUM(R8:R8)</f>
        <v>0</v>
      </c>
      <c r="S9" s="455">
        <f t="shared" si="1"/>
        <v>0</v>
      </c>
      <c r="T9" s="455">
        <f t="shared" si="1"/>
        <v>0</v>
      </c>
      <c r="U9" s="455">
        <f t="shared" si="1"/>
        <v>0</v>
      </c>
      <c r="V9" s="455">
        <f t="shared" si="1"/>
        <v>0</v>
      </c>
      <c r="W9" s="455">
        <f t="shared" si="1"/>
        <v>0</v>
      </c>
      <c r="X9" s="455">
        <f t="shared" si="1"/>
        <v>0</v>
      </c>
      <c r="Y9" s="455">
        <f t="shared" si="1"/>
        <v>0</v>
      </c>
      <c r="Z9" s="455">
        <f t="shared" si="1"/>
        <v>0</v>
      </c>
      <c r="AA9" s="455">
        <f t="shared" si="1"/>
        <v>0</v>
      </c>
      <c r="AB9" s="455">
        <f t="shared" si="1"/>
        <v>0</v>
      </c>
      <c r="AC9" s="455">
        <f t="shared" si="1"/>
        <v>0</v>
      </c>
      <c r="AD9" s="455">
        <f t="shared" si="1"/>
        <v>0</v>
      </c>
      <c r="AE9" s="455">
        <f t="shared" si="1"/>
        <v>0</v>
      </c>
      <c r="AF9" s="455">
        <f t="shared" si="1"/>
        <v>0</v>
      </c>
      <c r="AG9" s="455">
        <f t="shared" si="1"/>
        <v>0</v>
      </c>
      <c r="AH9" s="455">
        <f t="shared" si="1"/>
        <v>0</v>
      </c>
      <c r="AI9" s="455">
        <f t="shared" si="1"/>
        <v>0</v>
      </c>
      <c r="AJ9" s="455">
        <f t="shared" si="1"/>
        <v>0</v>
      </c>
      <c r="AK9" s="455">
        <f t="shared" si="1"/>
        <v>0</v>
      </c>
      <c r="AL9" s="455">
        <f t="shared" si="1"/>
        <v>0</v>
      </c>
      <c r="AM9" s="455">
        <f t="shared" si="1"/>
        <v>0</v>
      </c>
      <c r="AN9" s="455">
        <f t="shared" si="1"/>
        <v>0</v>
      </c>
      <c r="AO9" s="455">
        <f t="shared" si="1"/>
        <v>0</v>
      </c>
    </row>
    <row r="10" spans="1:41" s="11" customFormat="1">
      <c r="A10" s="65"/>
      <c r="B10" s="58"/>
      <c r="C10" s="58"/>
      <c r="D10" s="58"/>
      <c r="E10" s="58"/>
      <c r="F10" s="73"/>
      <c r="G10" s="73"/>
      <c r="H10" s="73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</row>
    <row r="11" spans="1:41" s="11" customFormat="1">
      <c r="A11" s="65"/>
      <c r="B11" s="130" t="s">
        <v>234</v>
      </c>
      <c r="C11" s="477">
        <v>5</v>
      </c>
      <c r="D11" s="478">
        <f>(1/C11%/100)/Assumptions!$C$6</f>
        <v>1.6666666666666666E-2</v>
      </c>
      <c r="E11" s="72"/>
      <c r="F11" s="473">
        <v>350</v>
      </c>
      <c r="G11" s="457">
        <v>0</v>
      </c>
      <c r="H11" s="457"/>
      <c r="I11" s="457"/>
      <c r="J11" s="457"/>
      <c r="K11" s="457"/>
      <c r="L11" s="457"/>
      <c r="M11" s="457"/>
      <c r="N11" s="457"/>
      <c r="O11" s="457"/>
      <c r="P11" s="457"/>
      <c r="Q11" s="457"/>
      <c r="R11" s="457"/>
      <c r="S11" s="457"/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/>
      <c r="AE11" s="457"/>
      <c r="AF11" s="457"/>
      <c r="AG11" s="457"/>
      <c r="AH11" s="457"/>
      <c r="AI11" s="457"/>
      <c r="AJ11" s="457"/>
      <c r="AK11" s="457"/>
      <c r="AL11" s="457"/>
      <c r="AM11" s="457"/>
      <c r="AN11" s="457"/>
      <c r="AO11" s="457"/>
    </row>
    <row r="12" spans="1:41" s="11" customFormat="1">
      <c r="A12" s="65"/>
      <c r="B12" s="130" t="s">
        <v>235</v>
      </c>
      <c r="C12" s="477">
        <v>5</v>
      </c>
      <c r="D12" s="478">
        <f>(1/C12%/100)/Assumptions!$C$6</f>
        <v>1.6666666666666666E-2</v>
      </c>
      <c r="E12" s="72"/>
      <c r="F12" s="473">
        <v>100</v>
      </c>
      <c r="G12" s="457"/>
      <c r="H12" s="457"/>
      <c r="I12" s="457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7"/>
      <c r="AA12" s="457"/>
      <c r="AB12" s="457"/>
      <c r="AC12" s="457"/>
      <c r="AD12" s="457"/>
      <c r="AE12" s="457"/>
      <c r="AF12" s="457"/>
      <c r="AG12" s="457"/>
      <c r="AH12" s="457"/>
      <c r="AI12" s="457"/>
      <c r="AJ12" s="457"/>
      <c r="AK12" s="457"/>
      <c r="AL12" s="457"/>
      <c r="AM12" s="457"/>
      <c r="AN12" s="457"/>
      <c r="AO12" s="457"/>
    </row>
    <row r="13" spans="1:41" s="11" customFormat="1">
      <c r="A13" s="65"/>
      <c r="B13" s="130" t="s">
        <v>236</v>
      </c>
      <c r="C13" s="477">
        <v>5</v>
      </c>
      <c r="D13" s="478">
        <f>(1/C13%/100)/Assumptions!$C$6</f>
        <v>1.6666666666666666E-2</v>
      </c>
      <c r="E13" s="72"/>
      <c r="F13" s="473">
        <v>120</v>
      </c>
      <c r="G13" s="457"/>
      <c r="H13" s="457"/>
      <c r="I13" s="457"/>
      <c r="J13" s="457"/>
      <c r="K13" s="457"/>
      <c r="L13" s="457"/>
      <c r="M13" s="457"/>
      <c r="N13" s="457"/>
      <c r="O13" s="457"/>
      <c r="P13" s="457"/>
      <c r="Q13" s="457"/>
      <c r="R13" s="457"/>
      <c r="S13" s="457"/>
      <c r="T13" s="457"/>
      <c r="U13" s="457"/>
      <c r="V13" s="457"/>
      <c r="W13" s="457"/>
      <c r="X13" s="457"/>
      <c r="Y13" s="457"/>
      <c r="Z13" s="457"/>
      <c r="AA13" s="457"/>
      <c r="AB13" s="457"/>
      <c r="AC13" s="457"/>
      <c r="AD13" s="457"/>
      <c r="AE13" s="457"/>
      <c r="AF13" s="457"/>
      <c r="AG13" s="457"/>
      <c r="AH13" s="457"/>
      <c r="AI13" s="457"/>
      <c r="AJ13" s="457"/>
      <c r="AK13" s="457"/>
      <c r="AL13" s="457"/>
      <c r="AM13" s="457"/>
      <c r="AN13" s="457"/>
      <c r="AO13" s="457"/>
    </row>
    <row r="14" spans="1:41" s="11" customFormat="1">
      <c r="A14" s="65"/>
      <c r="B14" s="72" t="s">
        <v>76</v>
      </c>
      <c r="C14" s="72"/>
      <c r="D14" s="72"/>
      <c r="E14" s="72"/>
      <c r="F14" s="185">
        <f>SUM(F11:F13)</f>
        <v>570</v>
      </c>
      <c r="G14" s="455">
        <f>SUM(G11:G13)</f>
        <v>0</v>
      </c>
      <c r="H14" s="455">
        <f>SUM(H11:H13)</f>
        <v>0</v>
      </c>
      <c r="I14" s="455">
        <f>SUM(I11:I13)</f>
        <v>0</v>
      </c>
      <c r="J14" s="455">
        <f>SUM(J11:J13)</f>
        <v>0</v>
      </c>
      <c r="K14" s="455">
        <f t="shared" ref="K14:Q14" si="2">SUM(K11:K13)</f>
        <v>0</v>
      </c>
      <c r="L14" s="455">
        <f t="shared" si="2"/>
        <v>0</v>
      </c>
      <c r="M14" s="455">
        <f t="shared" si="2"/>
        <v>0</v>
      </c>
      <c r="N14" s="455">
        <f t="shared" si="2"/>
        <v>0</v>
      </c>
      <c r="O14" s="455">
        <f t="shared" si="2"/>
        <v>0</v>
      </c>
      <c r="P14" s="455">
        <f t="shared" si="2"/>
        <v>0</v>
      </c>
      <c r="Q14" s="455">
        <f t="shared" si="2"/>
        <v>0</v>
      </c>
      <c r="R14" s="455">
        <f t="shared" ref="R14:AO14" si="3">SUM(R11:R13)</f>
        <v>0</v>
      </c>
      <c r="S14" s="455">
        <f t="shared" si="3"/>
        <v>0</v>
      </c>
      <c r="T14" s="455">
        <f t="shared" si="3"/>
        <v>0</v>
      </c>
      <c r="U14" s="455">
        <f t="shared" si="3"/>
        <v>0</v>
      </c>
      <c r="V14" s="455">
        <f t="shared" si="3"/>
        <v>0</v>
      </c>
      <c r="W14" s="455">
        <f t="shared" si="3"/>
        <v>0</v>
      </c>
      <c r="X14" s="455">
        <f t="shared" si="3"/>
        <v>0</v>
      </c>
      <c r="Y14" s="455">
        <f t="shared" si="3"/>
        <v>0</v>
      </c>
      <c r="Z14" s="455">
        <f t="shared" si="3"/>
        <v>0</v>
      </c>
      <c r="AA14" s="455">
        <f t="shared" si="3"/>
        <v>0</v>
      </c>
      <c r="AB14" s="455">
        <f t="shared" si="3"/>
        <v>0</v>
      </c>
      <c r="AC14" s="455">
        <f t="shared" si="3"/>
        <v>0</v>
      </c>
      <c r="AD14" s="455">
        <f t="shared" si="3"/>
        <v>0</v>
      </c>
      <c r="AE14" s="455">
        <f t="shared" si="3"/>
        <v>0</v>
      </c>
      <c r="AF14" s="455">
        <f t="shared" si="3"/>
        <v>0</v>
      </c>
      <c r="AG14" s="455">
        <f t="shared" si="3"/>
        <v>0</v>
      </c>
      <c r="AH14" s="455">
        <f t="shared" si="3"/>
        <v>0</v>
      </c>
      <c r="AI14" s="455">
        <f t="shared" si="3"/>
        <v>0</v>
      </c>
      <c r="AJ14" s="455">
        <f t="shared" si="3"/>
        <v>0</v>
      </c>
      <c r="AK14" s="455">
        <f t="shared" si="3"/>
        <v>0</v>
      </c>
      <c r="AL14" s="455">
        <f t="shared" si="3"/>
        <v>0</v>
      </c>
      <c r="AM14" s="455">
        <f t="shared" si="3"/>
        <v>0</v>
      </c>
      <c r="AN14" s="455">
        <f t="shared" si="3"/>
        <v>0</v>
      </c>
      <c r="AO14" s="455">
        <f t="shared" si="3"/>
        <v>0</v>
      </c>
    </row>
    <row r="15" spans="1:41"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</row>
    <row r="16" spans="1:41">
      <c r="B16" s="301" t="s">
        <v>77</v>
      </c>
      <c r="C16" s="330"/>
      <c r="D16" s="330"/>
      <c r="E16" s="330"/>
      <c r="F16" s="331">
        <f>+F14+F9</f>
        <v>770</v>
      </c>
      <c r="G16" s="331">
        <f t="shared" ref="G16:Q16" si="4">+G14+G9</f>
        <v>0</v>
      </c>
      <c r="H16" s="331">
        <f t="shared" si="4"/>
        <v>0</v>
      </c>
      <c r="I16" s="331">
        <f t="shared" si="4"/>
        <v>0</v>
      </c>
      <c r="J16" s="331">
        <f t="shared" si="4"/>
        <v>0</v>
      </c>
      <c r="K16" s="331">
        <f t="shared" si="4"/>
        <v>0</v>
      </c>
      <c r="L16" s="331">
        <f t="shared" si="4"/>
        <v>0</v>
      </c>
      <c r="M16" s="331">
        <f t="shared" si="4"/>
        <v>0</v>
      </c>
      <c r="N16" s="331">
        <f t="shared" si="4"/>
        <v>0</v>
      </c>
      <c r="O16" s="331">
        <f t="shared" si="4"/>
        <v>0</v>
      </c>
      <c r="P16" s="331">
        <f t="shared" si="4"/>
        <v>0</v>
      </c>
      <c r="Q16" s="331">
        <f t="shared" si="4"/>
        <v>0</v>
      </c>
      <c r="R16" s="331">
        <f t="shared" ref="R16:AO16" si="5">+R14+R9</f>
        <v>0</v>
      </c>
      <c r="S16" s="331">
        <f t="shared" si="5"/>
        <v>0</v>
      </c>
      <c r="T16" s="331">
        <f t="shared" si="5"/>
        <v>0</v>
      </c>
      <c r="U16" s="331">
        <f t="shared" si="5"/>
        <v>0</v>
      </c>
      <c r="V16" s="331">
        <f t="shared" si="5"/>
        <v>0</v>
      </c>
      <c r="W16" s="331">
        <f t="shared" si="5"/>
        <v>0</v>
      </c>
      <c r="X16" s="331">
        <f t="shared" si="5"/>
        <v>0</v>
      </c>
      <c r="Y16" s="331">
        <f t="shared" si="5"/>
        <v>0</v>
      </c>
      <c r="Z16" s="331">
        <f t="shared" si="5"/>
        <v>0</v>
      </c>
      <c r="AA16" s="331">
        <f t="shared" si="5"/>
        <v>0</v>
      </c>
      <c r="AB16" s="331">
        <f t="shared" si="5"/>
        <v>0</v>
      </c>
      <c r="AC16" s="331">
        <f t="shared" si="5"/>
        <v>0</v>
      </c>
      <c r="AD16" s="331">
        <f t="shared" si="5"/>
        <v>0</v>
      </c>
      <c r="AE16" s="331">
        <f t="shared" si="5"/>
        <v>0</v>
      </c>
      <c r="AF16" s="331">
        <f t="shared" si="5"/>
        <v>0</v>
      </c>
      <c r="AG16" s="331">
        <f t="shared" si="5"/>
        <v>0</v>
      </c>
      <c r="AH16" s="331">
        <f t="shared" si="5"/>
        <v>0</v>
      </c>
      <c r="AI16" s="331">
        <f t="shared" si="5"/>
        <v>0</v>
      </c>
      <c r="AJ16" s="331">
        <f t="shared" si="5"/>
        <v>0</v>
      </c>
      <c r="AK16" s="331">
        <f t="shared" si="5"/>
        <v>0</v>
      </c>
      <c r="AL16" s="331">
        <f t="shared" si="5"/>
        <v>0</v>
      </c>
      <c r="AM16" s="331">
        <f t="shared" si="5"/>
        <v>0</v>
      </c>
      <c r="AN16" s="331">
        <f t="shared" si="5"/>
        <v>0</v>
      </c>
      <c r="AO16" s="331">
        <f t="shared" si="5"/>
        <v>0</v>
      </c>
    </row>
    <row r="17" spans="1:41"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</row>
    <row r="18" spans="1:41">
      <c r="B18" s="71" t="s">
        <v>328</v>
      </c>
      <c r="F18" s="457"/>
      <c r="G18" s="457"/>
      <c r="H18" s="457"/>
      <c r="I18" s="457"/>
      <c r="J18" s="457"/>
      <c r="K18" s="457"/>
      <c r="L18" s="457"/>
      <c r="M18" s="457"/>
      <c r="N18" s="457"/>
      <c r="O18" s="457"/>
      <c r="P18" s="457"/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  <c r="AK18" s="457"/>
      <c r="AL18" s="457"/>
      <c r="AM18" s="457"/>
      <c r="AN18" s="457"/>
      <c r="AO18" s="457"/>
    </row>
    <row r="19" spans="1:41">
      <c r="B19" s="71" t="s">
        <v>329</v>
      </c>
      <c r="F19" s="457"/>
      <c r="G19" s="457"/>
      <c r="H19" s="457"/>
      <c r="I19" s="457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7"/>
      <c r="AA19" s="457"/>
      <c r="AB19" s="457"/>
      <c r="AC19" s="457"/>
      <c r="AD19" s="457"/>
      <c r="AE19" s="457"/>
      <c r="AF19" s="457"/>
      <c r="AG19" s="457"/>
      <c r="AH19" s="457"/>
      <c r="AI19" s="457"/>
      <c r="AJ19" s="457"/>
      <c r="AK19" s="457"/>
      <c r="AL19" s="457"/>
      <c r="AM19" s="457"/>
      <c r="AN19" s="457"/>
      <c r="AO19" s="457"/>
    </row>
    <row r="20" spans="1:41">
      <c r="B20" s="71" t="s">
        <v>347</v>
      </c>
      <c r="F20" s="455"/>
      <c r="G20" s="455"/>
      <c r="H20" s="455"/>
      <c r="I20" s="455"/>
      <c r="J20" s="455"/>
      <c r="K20" s="455"/>
      <c r="L20" s="455"/>
      <c r="M20" s="455"/>
      <c r="N20" s="45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  <c r="AH20" s="455"/>
      <c r="AI20" s="455"/>
      <c r="AJ20" s="455"/>
      <c r="AK20" s="455"/>
      <c r="AL20" s="455"/>
      <c r="AM20" s="455"/>
      <c r="AN20" s="455"/>
      <c r="AO20" s="455"/>
    </row>
    <row r="21" spans="1:41">
      <c r="B21" s="7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</row>
    <row r="22" spans="1:41">
      <c r="B22" s="71" t="s">
        <v>403</v>
      </c>
      <c r="F22" s="457"/>
      <c r="G22" s="457"/>
      <c r="H22" s="457"/>
      <c r="I22" s="457"/>
      <c r="J22" s="457"/>
      <c r="K22" s="457"/>
      <c r="L22" s="457"/>
      <c r="M22" s="457"/>
      <c r="N22" s="457"/>
      <c r="O22" s="457"/>
      <c r="P22" s="457"/>
      <c r="Q22" s="457"/>
      <c r="R22" s="457"/>
      <c r="S22" s="457"/>
      <c r="T22" s="457"/>
      <c r="U22" s="457"/>
      <c r="V22" s="457"/>
      <c r="W22" s="457"/>
      <c r="X22" s="457"/>
      <c r="Y22" s="457"/>
      <c r="Z22" s="457"/>
      <c r="AA22" s="457"/>
      <c r="AB22" s="457"/>
      <c r="AC22" s="457"/>
      <c r="AD22" s="457"/>
      <c r="AE22" s="457"/>
      <c r="AF22" s="457"/>
      <c r="AG22" s="457"/>
      <c r="AH22" s="457"/>
      <c r="AI22" s="457"/>
      <c r="AJ22" s="457"/>
      <c r="AK22" s="457"/>
      <c r="AL22" s="457"/>
      <c r="AM22" s="457"/>
      <c r="AN22" s="457"/>
      <c r="AO22" s="457"/>
    </row>
    <row r="23" spans="1:41">
      <c r="B23" s="71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>
      <c r="B24" s="7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</row>
    <row r="25" spans="1:41" ht="16" thickBot="1">
      <c r="B25" s="341" t="s">
        <v>251</v>
      </c>
      <c r="C25" s="342"/>
      <c r="D25" s="342"/>
      <c r="E25" s="342"/>
      <c r="F25" s="344">
        <f>F3</f>
        <v>46053</v>
      </c>
      <c r="G25" s="344">
        <f t="shared" ref="G25:Q25" si="6">G3</f>
        <v>46054</v>
      </c>
      <c r="H25" s="344">
        <f t="shared" si="6"/>
        <v>46082</v>
      </c>
      <c r="I25" s="344">
        <f t="shared" si="6"/>
        <v>46113</v>
      </c>
      <c r="J25" s="344">
        <f t="shared" si="6"/>
        <v>46143</v>
      </c>
      <c r="K25" s="344">
        <f t="shared" si="6"/>
        <v>46174</v>
      </c>
      <c r="L25" s="344">
        <f t="shared" si="6"/>
        <v>46204</v>
      </c>
      <c r="M25" s="344">
        <f t="shared" si="6"/>
        <v>46235</v>
      </c>
      <c r="N25" s="344">
        <f t="shared" si="6"/>
        <v>46266</v>
      </c>
      <c r="O25" s="344">
        <f t="shared" si="6"/>
        <v>46296</v>
      </c>
      <c r="P25" s="344">
        <f t="shared" si="6"/>
        <v>46327</v>
      </c>
      <c r="Q25" s="344">
        <f t="shared" si="6"/>
        <v>46357</v>
      </c>
      <c r="R25" s="344">
        <f t="shared" ref="R25:AO25" si="7">R3</f>
        <v>46388</v>
      </c>
      <c r="S25" s="344">
        <f t="shared" si="7"/>
        <v>46419</v>
      </c>
      <c r="T25" s="344">
        <f t="shared" si="7"/>
        <v>46447</v>
      </c>
      <c r="U25" s="344">
        <f t="shared" si="7"/>
        <v>46478</v>
      </c>
      <c r="V25" s="344">
        <f t="shared" si="7"/>
        <v>46508</v>
      </c>
      <c r="W25" s="344">
        <f t="shared" si="7"/>
        <v>46539</v>
      </c>
      <c r="X25" s="344">
        <f t="shared" si="7"/>
        <v>46569</v>
      </c>
      <c r="Y25" s="344">
        <f t="shared" si="7"/>
        <v>46600</v>
      </c>
      <c r="Z25" s="344">
        <f t="shared" si="7"/>
        <v>46631</v>
      </c>
      <c r="AA25" s="344">
        <f t="shared" si="7"/>
        <v>46661</v>
      </c>
      <c r="AB25" s="344">
        <f t="shared" si="7"/>
        <v>46692</v>
      </c>
      <c r="AC25" s="344">
        <f t="shared" si="7"/>
        <v>46722</v>
      </c>
      <c r="AD25" s="344">
        <f t="shared" si="7"/>
        <v>46753</v>
      </c>
      <c r="AE25" s="344">
        <f t="shared" si="7"/>
        <v>46784</v>
      </c>
      <c r="AF25" s="344">
        <f t="shared" si="7"/>
        <v>46813</v>
      </c>
      <c r="AG25" s="344">
        <f t="shared" si="7"/>
        <v>46844</v>
      </c>
      <c r="AH25" s="344">
        <f t="shared" si="7"/>
        <v>46874</v>
      </c>
      <c r="AI25" s="344">
        <f t="shared" si="7"/>
        <v>46905</v>
      </c>
      <c r="AJ25" s="344">
        <f t="shared" si="7"/>
        <v>46935</v>
      </c>
      <c r="AK25" s="344">
        <f t="shared" si="7"/>
        <v>46966</v>
      </c>
      <c r="AL25" s="344">
        <f t="shared" si="7"/>
        <v>46997</v>
      </c>
      <c r="AM25" s="344">
        <f t="shared" si="7"/>
        <v>47027</v>
      </c>
      <c r="AN25" s="344">
        <f t="shared" si="7"/>
        <v>47058</v>
      </c>
      <c r="AO25" s="344">
        <f t="shared" si="7"/>
        <v>47088</v>
      </c>
    </row>
    <row r="26" spans="1:41" s="58" customFormat="1">
      <c r="A26" s="59"/>
      <c r="B26" s="71"/>
      <c r="C26" s="59"/>
      <c r="D26" s="59"/>
      <c r="E26" s="59"/>
      <c r="H26" s="128"/>
    </row>
    <row r="27" spans="1:41" s="58" customFormat="1">
      <c r="A27" s="59"/>
      <c r="B27" s="130" t="s">
        <v>14</v>
      </c>
      <c r="C27" s="59"/>
      <c r="D27" s="59"/>
      <c r="E27" s="59"/>
      <c r="F27" s="474">
        <f>E9</f>
        <v>200</v>
      </c>
      <c r="G27" s="474">
        <f>+F27+G8</f>
        <v>200</v>
      </c>
      <c r="H27" s="474">
        <f>+G27+H8</f>
        <v>200</v>
      </c>
      <c r="I27" s="474">
        <f>+H27+I8</f>
        <v>200</v>
      </c>
      <c r="J27" s="474">
        <f t="shared" ref="J27:Q27" si="8">+I27+J8</f>
        <v>200</v>
      </c>
      <c r="K27" s="474">
        <f>+J27+K8</f>
        <v>200</v>
      </c>
      <c r="L27" s="474">
        <f t="shared" si="8"/>
        <v>200</v>
      </c>
      <c r="M27" s="474">
        <f>+L27+M8</f>
        <v>200</v>
      </c>
      <c r="N27" s="474">
        <f>+M27+N8</f>
        <v>200</v>
      </c>
      <c r="O27" s="474">
        <f t="shared" si="8"/>
        <v>200</v>
      </c>
      <c r="P27" s="474">
        <f t="shared" si="8"/>
        <v>200</v>
      </c>
      <c r="Q27" s="474">
        <f t="shared" si="8"/>
        <v>200</v>
      </c>
      <c r="R27" s="474">
        <f t="shared" ref="R27" si="9">+Q27+R8</f>
        <v>200</v>
      </c>
      <c r="S27" s="474">
        <f t="shared" ref="S27" si="10">+R27+S8</f>
        <v>200</v>
      </c>
      <c r="T27" s="474">
        <f t="shared" ref="T27" si="11">+S27+T8</f>
        <v>200</v>
      </c>
      <c r="U27" s="474">
        <f t="shared" ref="U27" si="12">+T27+U8</f>
        <v>200</v>
      </c>
      <c r="V27" s="474">
        <f t="shared" ref="V27" si="13">+U27+V8</f>
        <v>200</v>
      </c>
      <c r="W27" s="474">
        <f t="shared" ref="W27" si="14">+V27+W8</f>
        <v>200</v>
      </c>
      <c r="X27" s="474">
        <f t="shared" ref="X27" si="15">+W27+X8</f>
        <v>200</v>
      </c>
      <c r="Y27" s="474">
        <f t="shared" ref="Y27" si="16">+X27+Y8</f>
        <v>200</v>
      </c>
      <c r="Z27" s="474">
        <f t="shared" ref="Z27" si="17">+Y27+Z8</f>
        <v>200</v>
      </c>
      <c r="AA27" s="474">
        <f t="shared" ref="AA27" si="18">+Z27+AA8</f>
        <v>200</v>
      </c>
      <c r="AB27" s="474">
        <f t="shared" ref="AB27" si="19">+AA27+AB8</f>
        <v>200</v>
      </c>
      <c r="AC27" s="474">
        <f t="shared" ref="AC27" si="20">+AB27+AC8</f>
        <v>200</v>
      </c>
      <c r="AD27" s="474">
        <f t="shared" ref="AD27" si="21">+AC27+AD8</f>
        <v>200</v>
      </c>
      <c r="AE27" s="474">
        <f t="shared" ref="AE27" si="22">+AD27+AE8</f>
        <v>200</v>
      </c>
      <c r="AF27" s="474">
        <f t="shared" ref="AF27" si="23">+AE27+AF8</f>
        <v>200</v>
      </c>
      <c r="AG27" s="474">
        <f t="shared" ref="AG27" si="24">+AF27+AG8</f>
        <v>200</v>
      </c>
      <c r="AH27" s="474">
        <f t="shared" ref="AH27" si="25">+AG27+AH8</f>
        <v>200</v>
      </c>
      <c r="AI27" s="474">
        <f t="shared" ref="AI27" si="26">+AH27+AI8</f>
        <v>200</v>
      </c>
      <c r="AJ27" s="474">
        <f t="shared" ref="AJ27" si="27">+AI27+AJ8</f>
        <v>200</v>
      </c>
      <c r="AK27" s="474">
        <f t="shared" ref="AK27" si="28">+AJ27+AK8</f>
        <v>200</v>
      </c>
      <c r="AL27" s="474">
        <f t="shared" ref="AL27" si="29">+AK27+AL8</f>
        <v>200</v>
      </c>
      <c r="AM27" s="474">
        <f t="shared" ref="AM27" si="30">+AL27+AM8</f>
        <v>200</v>
      </c>
      <c r="AN27" s="474">
        <f t="shared" ref="AN27" si="31">+AM27+AN8</f>
        <v>200</v>
      </c>
      <c r="AO27" s="474">
        <f t="shared" ref="AO27" si="32">+AN27+AO8</f>
        <v>200</v>
      </c>
    </row>
    <row r="28" spans="1:41" s="58" customFormat="1">
      <c r="A28" s="59"/>
      <c r="B28" s="57" t="s">
        <v>75</v>
      </c>
      <c r="C28" s="57"/>
      <c r="D28" s="57"/>
      <c r="E28" s="57"/>
      <c r="F28" s="475">
        <f>E9</f>
        <v>200</v>
      </c>
      <c r="G28" s="475">
        <f t="shared" ref="G28:Q28" si="33">F28</f>
        <v>200</v>
      </c>
      <c r="H28" s="475">
        <f t="shared" si="33"/>
        <v>200</v>
      </c>
      <c r="I28" s="475">
        <f t="shared" si="33"/>
        <v>200</v>
      </c>
      <c r="J28" s="475">
        <f t="shared" si="33"/>
        <v>200</v>
      </c>
      <c r="K28" s="475">
        <f t="shared" si="33"/>
        <v>200</v>
      </c>
      <c r="L28" s="475">
        <f t="shared" si="33"/>
        <v>200</v>
      </c>
      <c r="M28" s="475">
        <f t="shared" si="33"/>
        <v>200</v>
      </c>
      <c r="N28" s="475">
        <f t="shared" si="33"/>
        <v>200</v>
      </c>
      <c r="O28" s="475">
        <f t="shared" si="33"/>
        <v>200</v>
      </c>
      <c r="P28" s="475">
        <f t="shared" si="33"/>
        <v>200</v>
      </c>
      <c r="Q28" s="475">
        <f t="shared" si="33"/>
        <v>200</v>
      </c>
      <c r="R28" s="475">
        <f t="shared" ref="R28" si="34">Q28</f>
        <v>200</v>
      </c>
      <c r="S28" s="475">
        <f t="shared" ref="S28" si="35">R28</f>
        <v>200</v>
      </c>
      <c r="T28" s="475">
        <f t="shared" ref="T28" si="36">S28</f>
        <v>200</v>
      </c>
      <c r="U28" s="475">
        <f t="shared" ref="U28" si="37">T28</f>
        <v>200</v>
      </c>
      <c r="V28" s="475">
        <f t="shared" ref="V28" si="38">U28</f>
        <v>200</v>
      </c>
      <c r="W28" s="475">
        <f t="shared" ref="W28" si="39">V28</f>
        <v>200</v>
      </c>
      <c r="X28" s="475">
        <f t="shared" ref="X28" si="40">W28</f>
        <v>200</v>
      </c>
      <c r="Y28" s="475">
        <f t="shared" ref="Y28" si="41">X28</f>
        <v>200</v>
      </c>
      <c r="Z28" s="475">
        <f t="shared" ref="Z28" si="42">Y28</f>
        <v>200</v>
      </c>
      <c r="AA28" s="475">
        <f t="shared" ref="AA28" si="43">Z28</f>
        <v>200</v>
      </c>
      <c r="AB28" s="475">
        <f t="shared" ref="AB28" si="44">AA28</f>
        <v>200</v>
      </c>
      <c r="AC28" s="475">
        <f t="shared" ref="AC28" si="45">AB28</f>
        <v>200</v>
      </c>
      <c r="AD28" s="475">
        <f t="shared" ref="AD28" si="46">AC28</f>
        <v>200</v>
      </c>
      <c r="AE28" s="475">
        <f t="shared" ref="AE28" si="47">AD28</f>
        <v>200</v>
      </c>
      <c r="AF28" s="475">
        <f t="shared" ref="AF28" si="48">AE28</f>
        <v>200</v>
      </c>
      <c r="AG28" s="475">
        <f t="shared" ref="AG28" si="49">AF28</f>
        <v>200</v>
      </c>
      <c r="AH28" s="475">
        <f t="shared" ref="AH28" si="50">AG28</f>
        <v>200</v>
      </c>
      <c r="AI28" s="475">
        <f t="shared" ref="AI28" si="51">AH28</f>
        <v>200</v>
      </c>
      <c r="AJ28" s="475">
        <f t="shared" ref="AJ28" si="52">AI28</f>
        <v>200</v>
      </c>
      <c r="AK28" s="475">
        <f t="shared" ref="AK28" si="53">AJ28</f>
        <v>200</v>
      </c>
      <c r="AL28" s="475">
        <f t="shared" ref="AL28" si="54">AK28</f>
        <v>200</v>
      </c>
      <c r="AM28" s="475">
        <f t="shared" ref="AM28" si="55">AL28</f>
        <v>200</v>
      </c>
      <c r="AN28" s="475">
        <f t="shared" ref="AN28" si="56">AM28</f>
        <v>200</v>
      </c>
      <c r="AO28" s="475">
        <f t="shared" ref="AO28" si="57">AN28</f>
        <v>200</v>
      </c>
    </row>
    <row r="29" spans="1:41" s="58" customFormat="1">
      <c r="A29" s="59"/>
      <c r="C29" s="59"/>
      <c r="D29" s="59"/>
      <c r="E29" s="59"/>
      <c r="F29" s="73"/>
      <c r="G29" s="73"/>
      <c r="H29" s="73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</row>
    <row r="30" spans="1:41" s="58" customFormat="1">
      <c r="A30" s="59"/>
      <c r="B30" s="130" t="s">
        <v>234</v>
      </c>
      <c r="C30" s="59"/>
      <c r="D30" s="59"/>
      <c r="E30" s="59"/>
      <c r="F30" s="474">
        <f>E30 + F11</f>
        <v>350</v>
      </c>
      <c r="G30" s="474">
        <f t="shared" ref="G30:Q31" si="58">F30 + G11</f>
        <v>350</v>
      </c>
      <c r="H30" s="474">
        <f t="shared" si="58"/>
        <v>350</v>
      </c>
      <c r="I30" s="474">
        <f t="shared" si="58"/>
        <v>350</v>
      </c>
      <c r="J30" s="474">
        <f t="shared" si="58"/>
        <v>350</v>
      </c>
      <c r="K30" s="474">
        <f t="shared" si="58"/>
        <v>350</v>
      </c>
      <c r="L30" s="474">
        <f t="shared" si="58"/>
        <v>350</v>
      </c>
      <c r="M30" s="474">
        <f t="shared" si="58"/>
        <v>350</v>
      </c>
      <c r="N30" s="474">
        <f t="shared" si="58"/>
        <v>350</v>
      </c>
      <c r="O30" s="474">
        <f t="shared" si="58"/>
        <v>350</v>
      </c>
      <c r="P30" s="474">
        <f t="shared" si="58"/>
        <v>350</v>
      </c>
      <c r="Q30" s="474">
        <f t="shared" si="58"/>
        <v>350</v>
      </c>
      <c r="R30" s="474">
        <f t="shared" ref="R30:R32" si="59">Q30 + R11</f>
        <v>350</v>
      </c>
      <c r="S30" s="474">
        <f t="shared" ref="S30:S32" si="60">R30 + S11</f>
        <v>350</v>
      </c>
      <c r="T30" s="474">
        <f t="shared" ref="T30:T32" si="61">S30 + T11</f>
        <v>350</v>
      </c>
      <c r="U30" s="474">
        <f t="shared" ref="U30:U32" si="62">T30 + U11</f>
        <v>350</v>
      </c>
      <c r="V30" s="474">
        <f t="shared" ref="V30:V32" si="63">U30 + V11</f>
        <v>350</v>
      </c>
      <c r="W30" s="474">
        <f t="shared" ref="W30:W32" si="64">V30 + W11</f>
        <v>350</v>
      </c>
      <c r="X30" s="474">
        <f t="shared" ref="X30:X32" si="65">W30 + X11</f>
        <v>350</v>
      </c>
      <c r="Y30" s="474">
        <f t="shared" ref="Y30:Y32" si="66">X30 + Y11</f>
        <v>350</v>
      </c>
      <c r="Z30" s="474">
        <f t="shared" ref="Z30:Z32" si="67">Y30 + Z11</f>
        <v>350</v>
      </c>
      <c r="AA30" s="474">
        <f t="shared" ref="AA30:AA32" si="68">Z30 + AA11</f>
        <v>350</v>
      </c>
      <c r="AB30" s="474">
        <f t="shared" ref="AB30:AB32" si="69">AA30 + AB11</f>
        <v>350</v>
      </c>
      <c r="AC30" s="474">
        <f t="shared" ref="AC30:AC32" si="70">AB30 + AC11</f>
        <v>350</v>
      </c>
      <c r="AD30" s="474">
        <f t="shared" ref="AD30:AD32" si="71">AC30 + AD11</f>
        <v>350</v>
      </c>
      <c r="AE30" s="474">
        <f t="shared" ref="AE30:AE32" si="72">AD30 + AE11</f>
        <v>350</v>
      </c>
      <c r="AF30" s="474">
        <f t="shared" ref="AF30:AF32" si="73">AE30 + AF11</f>
        <v>350</v>
      </c>
      <c r="AG30" s="474">
        <f t="shared" ref="AG30:AG32" si="74">AF30 + AG11</f>
        <v>350</v>
      </c>
      <c r="AH30" s="474">
        <f t="shared" ref="AH30:AH32" si="75">AG30 + AH11</f>
        <v>350</v>
      </c>
      <c r="AI30" s="474">
        <f t="shared" ref="AI30:AI32" si="76">AH30 + AI11</f>
        <v>350</v>
      </c>
      <c r="AJ30" s="474">
        <f t="shared" ref="AJ30:AJ32" si="77">AI30 + AJ11</f>
        <v>350</v>
      </c>
      <c r="AK30" s="474">
        <f t="shared" ref="AK30:AK32" si="78">AJ30 + AK11</f>
        <v>350</v>
      </c>
      <c r="AL30" s="474">
        <f t="shared" ref="AL30:AL32" si="79">AK30 + AL11</f>
        <v>350</v>
      </c>
      <c r="AM30" s="474">
        <f t="shared" ref="AM30:AM32" si="80">AL30 + AM11</f>
        <v>350</v>
      </c>
      <c r="AN30" s="474">
        <f t="shared" ref="AN30:AN32" si="81">AM30 + AN11</f>
        <v>350</v>
      </c>
      <c r="AO30" s="474">
        <f t="shared" ref="AO30:AO32" si="82">AN30 + AO11</f>
        <v>350</v>
      </c>
    </row>
    <row r="31" spans="1:41" s="58" customFormat="1">
      <c r="A31" s="59"/>
      <c r="B31" s="130" t="s">
        <v>235</v>
      </c>
      <c r="C31" s="59"/>
      <c r="D31" s="59"/>
      <c r="E31" s="59"/>
      <c r="F31" s="474">
        <f>E31 + F12</f>
        <v>100</v>
      </c>
      <c r="G31" s="474">
        <f t="shared" si="58"/>
        <v>100</v>
      </c>
      <c r="H31" s="474">
        <f t="shared" si="58"/>
        <v>100</v>
      </c>
      <c r="I31" s="474">
        <f t="shared" si="58"/>
        <v>100</v>
      </c>
      <c r="J31" s="474">
        <f t="shared" si="58"/>
        <v>100</v>
      </c>
      <c r="K31" s="474">
        <f t="shared" si="58"/>
        <v>100</v>
      </c>
      <c r="L31" s="474">
        <f>K31 + L12</f>
        <v>100</v>
      </c>
      <c r="M31" s="474">
        <f t="shared" si="58"/>
        <v>100</v>
      </c>
      <c r="N31" s="474">
        <f t="shared" si="58"/>
        <v>100</v>
      </c>
      <c r="O31" s="474">
        <f t="shared" si="58"/>
        <v>100</v>
      </c>
      <c r="P31" s="474">
        <f t="shared" si="58"/>
        <v>100</v>
      </c>
      <c r="Q31" s="474">
        <f t="shared" si="58"/>
        <v>100</v>
      </c>
      <c r="R31" s="474">
        <f t="shared" si="59"/>
        <v>100</v>
      </c>
      <c r="S31" s="474">
        <f t="shared" si="60"/>
        <v>100</v>
      </c>
      <c r="T31" s="474">
        <f t="shared" si="61"/>
        <v>100</v>
      </c>
      <c r="U31" s="474">
        <f t="shared" si="62"/>
        <v>100</v>
      </c>
      <c r="V31" s="474">
        <f t="shared" si="63"/>
        <v>100</v>
      </c>
      <c r="W31" s="474">
        <f t="shared" si="64"/>
        <v>100</v>
      </c>
      <c r="X31" s="474">
        <f t="shared" si="65"/>
        <v>100</v>
      </c>
      <c r="Y31" s="474">
        <f t="shared" si="66"/>
        <v>100</v>
      </c>
      <c r="Z31" s="474">
        <f t="shared" si="67"/>
        <v>100</v>
      </c>
      <c r="AA31" s="474">
        <f t="shared" si="68"/>
        <v>100</v>
      </c>
      <c r="AB31" s="474">
        <f t="shared" si="69"/>
        <v>100</v>
      </c>
      <c r="AC31" s="474">
        <f t="shared" si="70"/>
        <v>100</v>
      </c>
      <c r="AD31" s="474">
        <f t="shared" si="71"/>
        <v>100</v>
      </c>
      <c r="AE31" s="474">
        <f t="shared" si="72"/>
        <v>100</v>
      </c>
      <c r="AF31" s="474">
        <f t="shared" si="73"/>
        <v>100</v>
      </c>
      <c r="AG31" s="474">
        <f t="shared" si="74"/>
        <v>100</v>
      </c>
      <c r="AH31" s="474">
        <f t="shared" si="75"/>
        <v>100</v>
      </c>
      <c r="AI31" s="474">
        <f t="shared" si="76"/>
        <v>100</v>
      </c>
      <c r="AJ31" s="474">
        <f t="shared" si="77"/>
        <v>100</v>
      </c>
      <c r="AK31" s="474">
        <f t="shared" si="78"/>
        <v>100</v>
      </c>
      <c r="AL31" s="474">
        <f t="shared" si="79"/>
        <v>100</v>
      </c>
      <c r="AM31" s="474">
        <f t="shared" si="80"/>
        <v>100</v>
      </c>
      <c r="AN31" s="474">
        <f t="shared" si="81"/>
        <v>100</v>
      </c>
      <c r="AO31" s="474">
        <f t="shared" si="82"/>
        <v>100</v>
      </c>
    </row>
    <row r="32" spans="1:41" s="58" customFormat="1">
      <c r="A32" s="59"/>
      <c r="B32" s="130" t="s">
        <v>236</v>
      </c>
      <c r="C32" s="59"/>
      <c r="D32" s="59"/>
      <c r="E32" s="59"/>
      <c r="F32" s="474">
        <f t="shared" ref="F32:Q32" si="83">E32 + F13</f>
        <v>120</v>
      </c>
      <c r="G32" s="474">
        <f t="shared" si="83"/>
        <v>120</v>
      </c>
      <c r="H32" s="474">
        <f t="shared" si="83"/>
        <v>120</v>
      </c>
      <c r="I32" s="474">
        <f t="shared" si="83"/>
        <v>120</v>
      </c>
      <c r="J32" s="474">
        <f t="shared" si="83"/>
        <v>120</v>
      </c>
      <c r="K32" s="474">
        <f t="shared" si="83"/>
        <v>120</v>
      </c>
      <c r="L32" s="474">
        <f t="shared" si="83"/>
        <v>120</v>
      </c>
      <c r="M32" s="474">
        <f t="shared" si="83"/>
        <v>120</v>
      </c>
      <c r="N32" s="474">
        <f t="shared" si="83"/>
        <v>120</v>
      </c>
      <c r="O32" s="474">
        <f t="shared" si="83"/>
        <v>120</v>
      </c>
      <c r="P32" s="474">
        <f t="shared" si="83"/>
        <v>120</v>
      </c>
      <c r="Q32" s="474">
        <f t="shared" si="83"/>
        <v>120</v>
      </c>
      <c r="R32" s="474">
        <f t="shared" si="59"/>
        <v>120</v>
      </c>
      <c r="S32" s="474">
        <f t="shared" si="60"/>
        <v>120</v>
      </c>
      <c r="T32" s="474">
        <f t="shared" si="61"/>
        <v>120</v>
      </c>
      <c r="U32" s="474">
        <f t="shared" si="62"/>
        <v>120</v>
      </c>
      <c r="V32" s="474">
        <f t="shared" si="63"/>
        <v>120</v>
      </c>
      <c r="W32" s="474">
        <f t="shared" si="64"/>
        <v>120</v>
      </c>
      <c r="X32" s="474">
        <f t="shared" si="65"/>
        <v>120</v>
      </c>
      <c r="Y32" s="474">
        <f t="shared" si="66"/>
        <v>120</v>
      </c>
      <c r="Z32" s="474">
        <f t="shared" si="67"/>
        <v>120</v>
      </c>
      <c r="AA32" s="474">
        <f t="shared" si="68"/>
        <v>120</v>
      </c>
      <c r="AB32" s="474">
        <f t="shared" si="69"/>
        <v>120</v>
      </c>
      <c r="AC32" s="474">
        <f t="shared" si="70"/>
        <v>120</v>
      </c>
      <c r="AD32" s="474">
        <f t="shared" si="71"/>
        <v>120</v>
      </c>
      <c r="AE32" s="474">
        <f t="shared" si="72"/>
        <v>120</v>
      </c>
      <c r="AF32" s="474">
        <f t="shared" si="73"/>
        <v>120</v>
      </c>
      <c r="AG32" s="474">
        <f t="shared" si="74"/>
        <v>120</v>
      </c>
      <c r="AH32" s="474">
        <f t="shared" si="75"/>
        <v>120</v>
      </c>
      <c r="AI32" s="474">
        <f t="shared" si="76"/>
        <v>120</v>
      </c>
      <c r="AJ32" s="474">
        <f t="shared" si="77"/>
        <v>120</v>
      </c>
      <c r="AK32" s="474">
        <f t="shared" si="78"/>
        <v>120</v>
      </c>
      <c r="AL32" s="474">
        <f t="shared" si="79"/>
        <v>120</v>
      </c>
      <c r="AM32" s="474">
        <f t="shared" si="80"/>
        <v>120</v>
      </c>
      <c r="AN32" s="474">
        <f t="shared" si="81"/>
        <v>120</v>
      </c>
      <c r="AO32" s="474">
        <f t="shared" si="82"/>
        <v>120</v>
      </c>
    </row>
    <row r="33" spans="2:41">
      <c r="B33" s="57" t="s">
        <v>76</v>
      </c>
      <c r="C33" s="57"/>
      <c r="D33" s="57"/>
      <c r="E33" s="57"/>
      <c r="F33" s="475">
        <f>SUM(F30:F32)</f>
        <v>570</v>
      </c>
      <c r="G33" s="475">
        <f>SUM(G30:G32)</f>
        <v>570</v>
      </c>
      <c r="H33" s="475">
        <f>SUM(H30:H32)</f>
        <v>570</v>
      </c>
      <c r="I33" s="475">
        <f>SUM(I30:I32)</f>
        <v>570</v>
      </c>
      <c r="J33" s="475">
        <f>SUM(J30:J32)</f>
        <v>570</v>
      </c>
      <c r="K33" s="475">
        <f t="shared" ref="K33:P33" si="84">SUM(K30:K32)</f>
        <v>570</v>
      </c>
      <c r="L33" s="475">
        <f t="shared" si="84"/>
        <v>570</v>
      </c>
      <c r="M33" s="475">
        <f t="shared" si="84"/>
        <v>570</v>
      </c>
      <c r="N33" s="475">
        <f t="shared" si="84"/>
        <v>570</v>
      </c>
      <c r="O33" s="475">
        <f t="shared" si="84"/>
        <v>570</v>
      </c>
      <c r="P33" s="475">
        <f t="shared" si="84"/>
        <v>570</v>
      </c>
      <c r="Q33" s="475">
        <f>SUM(Q30:Q32)</f>
        <v>570</v>
      </c>
      <c r="R33" s="475">
        <f t="shared" ref="R33:AO33" si="85">SUM(R30:R32)</f>
        <v>570</v>
      </c>
      <c r="S33" s="475">
        <f t="shared" si="85"/>
        <v>570</v>
      </c>
      <c r="T33" s="475">
        <f t="shared" si="85"/>
        <v>570</v>
      </c>
      <c r="U33" s="475">
        <f t="shared" si="85"/>
        <v>570</v>
      </c>
      <c r="V33" s="475">
        <f t="shared" si="85"/>
        <v>570</v>
      </c>
      <c r="W33" s="475">
        <f t="shared" si="85"/>
        <v>570</v>
      </c>
      <c r="X33" s="475">
        <f t="shared" si="85"/>
        <v>570</v>
      </c>
      <c r="Y33" s="475">
        <f t="shared" si="85"/>
        <v>570</v>
      </c>
      <c r="Z33" s="475">
        <f t="shared" si="85"/>
        <v>570</v>
      </c>
      <c r="AA33" s="475">
        <f t="shared" si="85"/>
        <v>570</v>
      </c>
      <c r="AB33" s="475">
        <f t="shared" si="85"/>
        <v>570</v>
      </c>
      <c r="AC33" s="475">
        <f t="shared" si="85"/>
        <v>570</v>
      </c>
      <c r="AD33" s="475">
        <f t="shared" si="85"/>
        <v>570</v>
      </c>
      <c r="AE33" s="475">
        <f t="shared" si="85"/>
        <v>570</v>
      </c>
      <c r="AF33" s="475">
        <f t="shared" si="85"/>
        <v>570</v>
      </c>
      <c r="AG33" s="475">
        <f t="shared" si="85"/>
        <v>570</v>
      </c>
      <c r="AH33" s="475">
        <f t="shared" si="85"/>
        <v>570</v>
      </c>
      <c r="AI33" s="475">
        <f t="shared" si="85"/>
        <v>570</v>
      </c>
      <c r="AJ33" s="475">
        <f t="shared" si="85"/>
        <v>570</v>
      </c>
      <c r="AK33" s="475">
        <f t="shared" si="85"/>
        <v>570</v>
      </c>
      <c r="AL33" s="475">
        <f t="shared" si="85"/>
        <v>570</v>
      </c>
      <c r="AM33" s="475">
        <f t="shared" si="85"/>
        <v>570</v>
      </c>
      <c r="AN33" s="475">
        <f t="shared" si="85"/>
        <v>570</v>
      </c>
      <c r="AO33" s="475">
        <f t="shared" si="85"/>
        <v>570</v>
      </c>
    </row>
    <row r="34" spans="2:41"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</row>
    <row r="35" spans="2:41">
      <c r="B35" s="301" t="s">
        <v>77</v>
      </c>
      <c r="C35" s="301"/>
      <c r="D35" s="301"/>
      <c r="E35" s="301"/>
      <c r="F35" s="331">
        <f>+F33+F28</f>
        <v>770</v>
      </c>
      <c r="G35" s="331">
        <f t="shared" ref="G35:P35" si="86">+G33+G28</f>
        <v>770</v>
      </c>
      <c r="H35" s="331">
        <f t="shared" si="86"/>
        <v>770</v>
      </c>
      <c r="I35" s="331">
        <f t="shared" si="86"/>
        <v>770</v>
      </c>
      <c r="J35" s="331">
        <f t="shared" si="86"/>
        <v>770</v>
      </c>
      <c r="K35" s="331">
        <f t="shared" si="86"/>
        <v>770</v>
      </c>
      <c r="L35" s="331">
        <f t="shared" si="86"/>
        <v>770</v>
      </c>
      <c r="M35" s="331">
        <f t="shared" si="86"/>
        <v>770</v>
      </c>
      <c r="N35" s="331">
        <f t="shared" si="86"/>
        <v>770</v>
      </c>
      <c r="O35" s="331">
        <f t="shared" si="86"/>
        <v>770</v>
      </c>
      <c r="P35" s="331">
        <f t="shared" si="86"/>
        <v>770</v>
      </c>
      <c r="Q35" s="331">
        <f>+Q33+Q28</f>
        <v>770</v>
      </c>
      <c r="R35" s="331">
        <f t="shared" ref="R35:AO35" si="87">+R33+R28</f>
        <v>770</v>
      </c>
      <c r="S35" s="331">
        <f t="shared" si="87"/>
        <v>770</v>
      </c>
      <c r="T35" s="331">
        <f t="shared" si="87"/>
        <v>770</v>
      </c>
      <c r="U35" s="331">
        <f t="shared" si="87"/>
        <v>770</v>
      </c>
      <c r="V35" s="331">
        <f t="shared" si="87"/>
        <v>770</v>
      </c>
      <c r="W35" s="331">
        <f t="shared" si="87"/>
        <v>770</v>
      </c>
      <c r="X35" s="331">
        <f t="shared" si="87"/>
        <v>770</v>
      </c>
      <c r="Y35" s="331">
        <f t="shared" si="87"/>
        <v>770</v>
      </c>
      <c r="Z35" s="331">
        <f t="shared" si="87"/>
        <v>770</v>
      </c>
      <c r="AA35" s="331">
        <f t="shared" si="87"/>
        <v>770</v>
      </c>
      <c r="AB35" s="331">
        <f t="shared" si="87"/>
        <v>770</v>
      </c>
      <c r="AC35" s="331">
        <f t="shared" si="87"/>
        <v>770</v>
      </c>
      <c r="AD35" s="331">
        <f t="shared" si="87"/>
        <v>770</v>
      </c>
      <c r="AE35" s="331">
        <f t="shared" si="87"/>
        <v>770</v>
      </c>
      <c r="AF35" s="331">
        <f t="shared" si="87"/>
        <v>770</v>
      </c>
      <c r="AG35" s="331">
        <f t="shared" si="87"/>
        <v>770</v>
      </c>
      <c r="AH35" s="331">
        <f t="shared" si="87"/>
        <v>770</v>
      </c>
      <c r="AI35" s="331">
        <f t="shared" si="87"/>
        <v>770</v>
      </c>
      <c r="AJ35" s="331">
        <f t="shared" si="87"/>
        <v>770</v>
      </c>
      <c r="AK35" s="331">
        <f t="shared" si="87"/>
        <v>770</v>
      </c>
      <c r="AL35" s="331">
        <f t="shared" si="87"/>
        <v>770</v>
      </c>
      <c r="AM35" s="331">
        <f t="shared" si="87"/>
        <v>770</v>
      </c>
      <c r="AN35" s="331">
        <f t="shared" si="87"/>
        <v>770</v>
      </c>
      <c r="AO35" s="331">
        <f t="shared" si="87"/>
        <v>770</v>
      </c>
    </row>
    <row r="36" spans="2:41">
      <c r="B36" s="173"/>
      <c r="C36" s="173"/>
      <c r="D36" s="173"/>
      <c r="E36" s="173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</row>
    <row r="37" spans="2:41">
      <c r="B37" s="7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</row>
    <row r="38" spans="2:41" ht="16" thickBot="1">
      <c r="B38" s="341" t="s">
        <v>568</v>
      </c>
      <c r="C38" s="342"/>
      <c r="D38" s="342"/>
      <c r="E38" s="342"/>
      <c r="F38" s="344">
        <f>F25</f>
        <v>46053</v>
      </c>
      <c r="G38" s="344">
        <f t="shared" ref="G38:AO38" si="88">G25</f>
        <v>46054</v>
      </c>
      <c r="H38" s="344">
        <f t="shared" si="88"/>
        <v>46082</v>
      </c>
      <c r="I38" s="344">
        <f t="shared" si="88"/>
        <v>46113</v>
      </c>
      <c r="J38" s="344">
        <f t="shared" si="88"/>
        <v>46143</v>
      </c>
      <c r="K38" s="344">
        <f t="shared" si="88"/>
        <v>46174</v>
      </c>
      <c r="L38" s="344">
        <f t="shared" si="88"/>
        <v>46204</v>
      </c>
      <c r="M38" s="344">
        <f t="shared" si="88"/>
        <v>46235</v>
      </c>
      <c r="N38" s="344">
        <f t="shared" si="88"/>
        <v>46266</v>
      </c>
      <c r="O38" s="344">
        <f t="shared" si="88"/>
        <v>46296</v>
      </c>
      <c r="P38" s="344">
        <f t="shared" si="88"/>
        <v>46327</v>
      </c>
      <c r="Q38" s="344">
        <f t="shared" si="88"/>
        <v>46357</v>
      </c>
      <c r="R38" s="344">
        <f t="shared" si="88"/>
        <v>46388</v>
      </c>
      <c r="S38" s="344">
        <f t="shared" si="88"/>
        <v>46419</v>
      </c>
      <c r="T38" s="344">
        <f t="shared" si="88"/>
        <v>46447</v>
      </c>
      <c r="U38" s="344">
        <f t="shared" si="88"/>
        <v>46478</v>
      </c>
      <c r="V38" s="344">
        <f t="shared" si="88"/>
        <v>46508</v>
      </c>
      <c r="W38" s="344">
        <f t="shared" si="88"/>
        <v>46539</v>
      </c>
      <c r="X38" s="344">
        <f t="shared" si="88"/>
        <v>46569</v>
      </c>
      <c r="Y38" s="344">
        <f t="shared" si="88"/>
        <v>46600</v>
      </c>
      <c r="Z38" s="344">
        <f t="shared" si="88"/>
        <v>46631</v>
      </c>
      <c r="AA38" s="344">
        <f t="shared" si="88"/>
        <v>46661</v>
      </c>
      <c r="AB38" s="344">
        <f t="shared" si="88"/>
        <v>46692</v>
      </c>
      <c r="AC38" s="344">
        <f t="shared" si="88"/>
        <v>46722</v>
      </c>
      <c r="AD38" s="344">
        <f t="shared" si="88"/>
        <v>46753</v>
      </c>
      <c r="AE38" s="344">
        <f t="shared" si="88"/>
        <v>46784</v>
      </c>
      <c r="AF38" s="344">
        <f t="shared" si="88"/>
        <v>46813</v>
      </c>
      <c r="AG38" s="344">
        <f t="shared" si="88"/>
        <v>46844</v>
      </c>
      <c r="AH38" s="344">
        <f t="shared" si="88"/>
        <v>46874</v>
      </c>
      <c r="AI38" s="344">
        <f t="shared" si="88"/>
        <v>46905</v>
      </c>
      <c r="AJ38" s="344">
        <f t="shared" si="88"/>
        <v>46935</v>
      </c>
      <c r="AK38" s="344">
        <f t="shared" si="88"/>
        <v>46966</v>
      </c>
      <c r="AL38" s="344">
        <f t="shared" si="88"/>
        <v>46997</v>
      </c>
      <c r="AM38" s="344">
        <f t="shared" si="88"/>
        <v>47027</v>
      </c>
      <c r="AN38" s="344">
        <f t="shared" si="88"/>
        <v>47058</v>
      </c>
      <c r="AO38" s="344">
        <f t="shared" si="88"/>
        <v>47088</v>
      </c>
    </row>
    <row r="39" spans="2:41">
      <c r="B39" s="71"/>
      <c r="H39" s="128"/>
    </row>
    <row r="40" spans="2:41">
      <c r="B40" s="130" t="s">
        <v>14</v>
      </c>
      <c r="F40" s="474">
        <f>+F27/$C$8</f>
        <v>40</v>
      </c>
      <c r="G40" s="474">
        <f t="shared" ref="G40:Q40" si="89">+G27/$C$8</f>
        <v>40</v>
      </c>
      <c r="H40" s="474">
        <f t="shared" si="89"/>
        <v>40</v>
      </c>
      <c r="I40" s="474">
        <f t="shared" si="89"/>
        <v>40</v>
      </c>
      <c r="J40" s="474">
        <f t="shared" si="89"/>
        <v>40</v>
      </c>
      <c r="K40" s="474">
        <f t="shared" si="89"/>
        <v>40</v>
      </c>
      <c r="L40" s="474">
        <f t="shared" si="89"/>
        <v>40</v>
      </c>
      <c r="M40" s="474">
        <f t="shared" si="89"/>
        <v>40</v>
      </c>
      <c r="N40" s="474">
        <f t="shared" si="89"/>
        <v>40</v>
      </c>
      <c r="O40" s="474">
        <f t="shared" si="89"/>
        <v>40</v>
      </c>
      <c r="P40" s="474">
        <f t="shared" si="89"/>
        <v>40</v>
      </c>
      <c r="Q40" s="474">
        <f t="shared" si="89"/>
        <v>40</v>
      </c>
      <c r="R40" s="474">
        <f t="shared" ref="R40:AO40" si="90">+R27/$C$8</f>
        <v>40</v>
      </c>
      <c r="S40" s="474">
        <f t="shared" si="90"/>
        <v>40</v>
      </c>
      <c r="T40" s="474">
        <f t="shared" si="90"/>
        <v>40</v>
      </c>
      <c r="U40" s="474">
        <f t="shared" si="90"/>
        <v>40</v>
      </c>
      <c r="V40" s="474">
        <f t="shared" si="90"/>
        <v>40</v>
      </c>
      <c r="W40" s="474">
        <f t="shared" si="90"/>
        <v>40</v>
      </c>
      <c r="X40" s="474">
        <f t="shared" si="90"/>
        <v>40</v>
      </c>
      <c r="Y40" s="474">
        <f t="shared" si="90"/>
        <v>40</v>
      </c>
      <c r="Z40" s="474">
        <f t="shared" si="90"/>
        <v>40</v>
      </c>
      <c r="AA40" s="474">
        <f t="shared" si="90"/>
        <v>40</v>
      </c>
      <c r="AB40" s="474">
        <f t="shared" si="90"/>
        <v>40</v>
      </c>
      <c r="AC40" s="474">
        <f t="shared" si="90"/>
        <v>40</v>
      </c>
      <c r="AD40" s="474">
        <f t="shared" si="90"/>
        <v>40</v>
      </c>
      <c r="AE40" s="474">
        <f t="shared" si="90"/>
        <v>40</v>
      </c>
      <c r="AF40" s="474">
        <f t="shared" si="90"/>
        <v>40</v>
      </c>
      <c r="AG40" s="474">
        <f t="shared" si="90"/>
        <v>40</v>
      </c>
      <c r="AH40" s="474">
        <f t="shared" si="90"/>
        <v>40</v>
      </c>
      <c r="AI40" s="474">
        <f t="shared" si="90"/>
        <v>40</v>
      </c>
      <c r="AJ40" s="474">
        <f t="shared" si="90"/>
        <v>40</v>
      </c>
      <c r="AK40" s="474">
        <f t="shared" si="90"/>
        <v>40</v>
      </c>
      <c r="AL40" s="474">
        <f t="shared" si="90"/>
        <v>40</v>
      </c>
      <c r="AM40" s="474">
        <f t="shared" si="90"/>
        <v>40</v>
      </c>
      <c r="AN40" s="474">
        <f t="shared" si="90"/>
        <v>40</v>
      </c>
      <c r="AO40" s="474">
        <f t="shared" si="90"/>
        <v>40</v>
      </c>
    </row>
    <row r="41" spans="2:41">
      <c r="B41" s="57" t="s">
        <v>75</v>
      </c>
      <c r="C41" s="57"/>
      <c r="D41" s="57"/>
      <c r="E41" s="57"/>
      <c r="F41" s="475">
        <f>IF($E$9&gt;0, $E$9/($C$8*12), 0)</f>
        <v>3.3333333333333335</v>
      </c>
      <c r="G41" s="475">
        <f t="shared" ref="G41:AO41" si="91">IF($E$9&gt;0, $E$9/($C$8*12), 0)</f>
        <v>3.3333333333333335</v>
      </c>
      <c r="H41" s="475">
        <f t="shared" si="91"/>
        <v>3.3333333333333335</v>
      </c>
      <c r="I41" s="475">
        <f t="shared" si="91"/>
        <v>3.3333333333333335</v>
      </c>
      <c r="J41" s="475">
        <f t="shared" si="91"/>
        <v>3.3333333333333335</v>
      </c>
      <c r="K41" s="475">
        <f t="shared" si="91"/>
        <v>3.3333333333333335</v>
      </c>
      <c r="L41" s="475">
        <f t="shared" si="91"/>
        <v>3.3333333333333335</v>
      </c>
      <c r="M41" s="475">
        <f t="shared" si="91"/>
        <v>3.3333333333333335</v>
      </c>
      <c r="N41" s="475">
        <f t="shared" si="91"/>
        <v>3.3333333333333335</v>
      </c>
      <c r="O41" s="475">
        <f t="shared" si="91"/>
        <v>3.3333333333333335</v>
      </c>
      <c r="P41" s="475">
        <f t="shared" si="91"/>
        <v>3.3333333333333335</v>
      </c>
      <c r="Q41" s="475">
        <f t="shared" si="91"/>
        <v>3.3333333333333335</v>
      </c>
      <c r="R41" s="475">
        <f t="shared" si="91"/>
        <v>3.3333333333333335</v>
      </c>
      <c r="S41" s="475">
        <f t="shared" si="91"/>
        <v>3.3333333333333335</v>
      </c>
      <c r="T41" s="475">
        <f t="shared" si="91"/>
        <v>3.3333333333333335</v>
      </c>
      <c r="U41" s="475">
        <f t="shared" si="91"/>
        <v>3.3333333333333335</v>
      </c>
      <c r="V41" s="475">
        <f t="shared" si="91"/>
        <v>3.3333333333333335</v>
      </c>
      <c r="W41" s="475">
        <f t="shared" si="91"/>
        <v>3.3333333333333335</v>
      </c>
      <c r="X41" s="475">
        <f t="shared" si="91"/>
        <v>3.3333333333333335</v>
      </c>
      <c r="Y41" s="475">
        <f t="shared" si="91"/>
        <v>3.3333333333333335</v>
      </c>
      <c r="Z41" s="475">
        <f t="shared" si="91"/>
        <v>3.3333333333333335</v>
      </c>
      <c r="AA41" s="475">
        <f t="shared" si="91"/>
        <v>3.3333333333333335</v>
      </c>
      <c r="AB41" s="475">
        <f t="shared" si="91"/>
        <v>3.3333333333333335</v>
      </c>
      <c r="AC41" s="475">
        <f t="shared" si="91"/>
        <v>3.3333333333333335</v>
      </c>
      <c r="AD41" s="475">
        <f t="shared" si="91"/>
        <v>3.3333333333333335</v>
      </c>
      <c r="AE41" s="475">
        <f t="shared" si="91"/>
        <v>3.3333333333333335</v>
      </c>
      <c r="AF41" s="475">
        <f t="shared" si="91"/>
        <v>3.3333333333333335</v>
      </c>
      <c r="AG41" s="475">
        <f t="shared" si="91"/>
        <v>3.3333333333333335</v>
      </c>
      <c r="AH41" s="475">
        <f t="shared" si="91"/>
        <v>3.3333333333333335</v>
      </c>
      <c r="AI41" s="475">
        <f t="shared" si="91"/>
        <v>3.3333333333333335</v>
      </c>
      <c r="AJ41" s="475">
        <f t="shared" si="91"/>
        <v>3.3333333333333335</v>
      </c>
      <c r="AK41" s="475">
        <f t="shared" si="91"/>
        <v>3.3333333333333335</v>
      </c>
      <c r="AL41" s="475">
        <f t="shared" si="91"/>
        <v>3.3333333333333335</v>
      </c>
      <c r="AM41" s="475">
        <f t="shared" si="91"/>
        <v>3.3333333333333335</v>
      </c>
      <c r="AN41" s="475">
        <f t="shared" si="91"/>
        <v>3.3333333333333335</v>
      </c>
      <c r="AO41" s="475">
        <f t="shared" si="91"/>
        <v>3.3333333333333335</v>
      </c>
    </row>
    <row r="42" spans="2:41">
      <c r="F42" s="73"/>
      <c r="G42" s="73"/>
      <c r="H42" s="73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</row>
    <row r="43" spans="2:41">
      <c r="B43" s="130" t="s">
        <v>234</v>
      </c>
      <c r="F43" s="474">
        <f>MIN((F30/$C11)/12,(F30-E56))</f>
        <v>5.833333333333333</v>
      </c>
      <c r="G43" s="474">
        <f t="shared" ref="G43:Q43" si="92">MIN((G30/$C11)/12,(G30-F56))</f>
        <v>5.833333333333333</v>
      </c>
      <c r="H43" s="474">
        <f t="shared" si="92"/>
        <v>5.833333333333333</v>
      </c>
      <c r="I43" s="474">
        <f t="shared" si="92"/>
        <v>5.833333333333333</v>
      </c>
      <c r="J43" s="474">
        <f t="shared" si="92"/>
        <v>5.833333333333333</v>
      </c>
      <c r="K43" s="474">
        <f t="shared" si="92"/>
        <v>5.833333333333333</v>
      </c>
      <c r="L43" s="474">
        <f t="shared" si="92"/>
        <v>5.833333333333333</v>
      </c>
      <c r="M43" s="474">
        <f t="shared" si="92"/>
        <v>5.833333333333333</v>
      </c>
      <c r="N43" s="474">
        <f t="shared" si="92"/>
        <v>5.833333333333333</v>
      </c>
      <c r="O43" s="474">
        <f t="shared" si="92"/>
        <v>5.833333333333333</v>
      </c>
      <c r="P43" s="474">
        <f t="shared" si="92"/>
        <v>5.833333333333333</v>
      </c>
      <c r="Q43" s="474">
        <f t="shared" si="92"/>
        <v>5.833333333333333</v>
      </c>
      <c r="R43" s="474">
        <f t="shared" ref="R43:R45" si="93">MIN((R30/$C11)/12,(R30-Q56))</f>
        <v>5.833333333333333</v>
      </c>
      <c r="S43" s="474">
        <f t="shared" ref="S43:S45" si="94">MIN((S30/$C11)/12,(S30-R56))</f>
        <v>5.833333333333333</v>
      </c>
      <c r="T43" s="474">
        <f t="shared" ref="T43:T45" si="95">MIN((T30/$C11)/12,(T30-S56))</f>
        <v>5.833333333333333</v>
      </c>
      <c r="U43" s="474">
        <f t="shared" ref="U43:U45" si="96">MIN((U30/$C11)/12,(U30-T56))</f>
        <v>5.833333333333333</v>
      </c>
      <c r="V43" s="474">
        <f t="shared" ref="V43:V45" si="97">MIN((V30/$C11)/12,(V30-U56))</f>
        <v>5.833333333333333</v>
      </c>
      <c r="W43" s="474">
        <f t="shared" ref="W43:W45" si="98">MIN((W30/$C11)/12,(W30-V56))</f>
        <v>5.833333333333333</v>
      </c>
      <c r="X43" s="474">
        <f t="shared" ref="X43:X45" si="99">MIN((X30/$C11)/12,(X30-W56))</f>
        <v>5.833333333333333</v>
      </c>
      <c r="Y43" s="474">
        <f t="shared" ref="Y43:Y45" si="100">MIN((Y30/$C11)/12,(Y30-X56))</f>
        <v>5.833333333333333</v>
      </c>
      <c r="Z43" s="474">
        <f t="shared" ref="Z43:Z45" si="101">MIN((Z30/$C11)/12,(Z30-Y56))</f>
        <v>5.833333333333333</v>
      </c>
      <c r="AA43" s="474">
        <f t="shared" ref="AA43:AA45" si="102">MIN((AA30/$C11)/12,(AA30-Z56))</f>
        <v>5.833333333333333</v>
      </c>
      <c r="AB43" s="474">
        <f t="shared" ref="AB43:AB45" si="103">MIN((AB30/$C11)/12,(AB30-AA56))</f>
        <v>5.833333333333333</v>
      </c>
      <c r="AC43" s="474">
        <f t="shared" ref="AC43:AC45" si="104">MIN((AC30/$C11)/12,(AC30-AB56))</f>
        <v>5.833333333333333</v>
      </c>
      <c r="AD43" s="474">
        <f t="shared" ref="AD43:AD45" si="105">MIN((AD30/$C11)/12,(AD30-AC56))</f>
        <v>5.833333333333333</v>
      </c>
      <c r="AE43" s="474">
        <f t="shared" ref="AE43:AE45" si="106">MIN((AE30/$C11)/12,(AE30-AD56))</f>
        <v>5.833333333333333</v>
      </c>
      <c r="AF43" s="474">
        <f t="shared" ref="AF43:AF45" si="107">MIN((AF30/$C11)/12,(AF30-AE56))</f>
        <v>5.833333333333333</v>
      </c>
      <c r="AG43" s="474">
        <f t="shared" ref="AG43:AG45" si="108">MIN((AG30/$C11)/12,(AG30-AF56))</f>
        <v>5.833333333333333</v>
      </c>
      <c r="AH43" s="474">
        <f t="shared" ref="AH43:AH45" si="109">MIN((AH30/$C11)/12,(AH30-AG56))</f>
        <v>5.833333333333333</v>
      </c>
      <c r="AI43" s="474">
        <f t="shared" ref="AI43:AI45" si="110">MIN((AI30/$C11)/12,(AI30-AH56))</f>
        <v>5.833333333333333</v>
      </c>
      <c r="AJ43" s="474">
        <f t="shared" ref="AJ43:AJ45" si="111">MIN((AJ30/$C11)/12,(AJ30-AI56))</f>
        <v>5.833333333333333</v>
      </c>
      <c r="AK43" s="474">
        <f t="shared" ref="AK43:AK45" si="112">MIN((AK30/$C11)/12,(AK30-AJ56))</f>
        <v>5.833333333333333</v>
      </c>
      <c r="AL43" s="474">
        <f t="shared" ref="AL43:AL45" si="113">MIN((AL30/$C11)/12,(AL30-AK56))</f>
        <v>5.833333333333333</v>
      </c>
      <c r="AM43" s="474">
        <f t="shared" ref="AM43:AM45" si="114">MIN((AM30/$C11)/12,(AM30-AL56))</f>
        <v>5.833333333333333</v>
      </c>
      <c r="AN43" s="474">
        <f t="shared" ref="AN43:AN45" si="115">MIN((AN30/$C11)/12,(AN30-AM56))</f>
        <v>5.833333333333333</v>
      </c>
      <c r="AO43" s="474">
        <f t="shared" ref="AO43:AO45" si="116">MIN((AO30/$C11)/12,(AO30-AN56))</f>
        <v>5.833333333333333</v>
      </c>
    </row>
    <row r="44" spans="2:41">
      <c r="B44" s="130" t="s">
        <v>235</v>
      </c>
      <c r="F44" s="474">
        <f t="shared" ref="F44:Q45" si="117">MIN((F31/$C12)/12,(F31-E57))</f>
        <v>1.6666666666666667</v>
      </c>
      <c r="G44" s="474">
        <f t="shared" si="117"/>
        <v>1.6666666666666667</v>
      </c>
      <c r="H44" s="474">
        <f t="shared" si="117"/>
        <v>1.6666666666666667</v>
      </c>
      <c r="I44" s="474">
        <f t="shared" si="117"/>
        <v>1.6666666666666667</v>
      </c>
      <c r="J44" s="474">
        <f t="shared" si="117"/>
        <v>1.6666666666666667</v>
      </c>
      <c r="K44" s="474">
        <f t="shared" si="117"/>
        <v>1.6666666666666667</v>
      </c>
      <c r="L44" s="474">
        <f t="shared" si="117"/>
        <v>1.6666666666666667</v>
      </c>
      <c r="M44" s="474">
        <f t="shared" si="117"/>
        <v>1.6666666666666667</v>
      </c>
      <c r="N44" s="474">
        <f t="shared" si="117"/>
        <v>1.6666666666666667</v>
      </c>
      <c r="O44" s="474">
        <f t="shared" si="117"/>
        <v>1.6666666666666667</v>
      </c>
      <c r="P44" s="474">
        <f t="shared" si="117"/>
        <v>1.6666666666666667</v>
      </c>
      <c r="Q44" s="474">
        <f t="shared" si="117"/>
        <v>1.6666666666666667</v>
      </c>
      <c r="R44" s="474">
        <f t="shared" si="93"/>
        <v>1.6666666666666667</v>
      </c>
      <c r="S44" s="474">
        <f t="shared" si="94"/>
        <v>1.6666666666666667</v>
      </c>
      <c r="T44" s="474">
        <f t="shared" si="95"/>
        <v>1.6666666666666667</v>
      </c>
      <c r="U44" s="474">
        <f t="shared" si="96"/>
        <v>1.6666666666666667</v>
      </c>
      <c r="V44" s="474">
        <f t="shared" si="97"/>
        <v>1.6666666666666667</v>
      </c>
      <c r="W44" s="474">
        <f t="shared" si="98"/>
        <v>1.6666666666666667</v>
      </c>
      <c r="X44" s="474">
        <f t="shared" si="99"/>
        <v>1.6666666666666667</v>
      </c>
      <c r="Y44" s="474">
        <f t="shared" si="100"/>
        <v>1.6666666666666667</v>
      </c>
      <c r="Z44" s="474">
        <f t="shared" si="101"/>
        <v>1.6666666666666667</v>
      </c>
      <c r="AA44" s="474">
        <f t="shared" si="102"/>
        <v>1.6666666666666667</v>
      </c>
      <c r="AB44" s="474">
        <f t="shared" si="103"/>
        <v>1.6666666666666667</v>
      </c>
      <c r="AC44" s="474">
        <f t="shared" si="104"/>
        <v>1.6666666666666667</v>
      </c>
      <c r="AD44" s="474">
        <f t="shared" si="105"/>
        <v>1.6666666666666667</v>
      </c>
      <c r="AE44" s="474">
        <f t="shared" si="106"/>
        <v>1.6666666666666667</v>
      </c>
      <c r="AF44" s="474">
        <f t="shared" si="107"/>
        <v>1.6666666666666667</v>
      </c>
      <c r="AG44" s="474">
        <f t="shared" si="108"/>
        <v>1.6666666666666667</v>
      </c>
      <c r="AH44" s="474">
        <f t="shared" si="109"/>
        <v>1.6666666666666667</v>
      </c>
      <c r="AI44" s="474">
        <f t="shared" si="110"/>
        <v>1.6666666666666667</v>
      </c>
      <c r="AJ44" s="474">
        <f t="shared" si="111"/>
        <v>1.6666666666666667</v>
      </c>
      <c r="AK44" s="474">
        <f t="shared" si="112"/>
        <v>1.6666666666666667</v>
      </c>
      <c r="AL44" s="474">
        <f t="shared" si="113"/>
        <v>1.6666666666666667</v>
      </c>
      <c r="AM44" s="474">
        <f t="shared" si="114"/>
        <v>1.6666666666666667</v>
      </c>
      <c r="AN44" s="474">
        <f t="shared" si="115"/>
        <v>1.6666666666666667</v>
      </c>
      <c r="AO44" s="474">
        <f t="shared" si="116"/>
        <v>1.6666666666666667</v>
      </c>
    </row>
    <row r="45" spans="2:41">
      <c r="B45" s="130" t="s">
        <v>236</v>
      </c>
      <c r="F45" s="474">
        <f t="shared" si="117"/>
        <v>2</v>
      </c>
      <c r="G45" s="474">
        <f t="shared" si="117"/>
        <v>2</v>
      </c>
      <c r="H45" s="474">
        <f t="shared" si="117"/>
        <v>2</v>
      </c>
      <c r="I45" s="474">
        <f t="shared" si="117"/>
        <v>2</v>
      </c>
      <c r="J45" s="474">
        <f t="shared" si="117"/>
        <v>2</v>
      </c>
      <c r="K45" s="474">
        <f t="shared" si="117"/>
        <v>2</v>
      </c>
      <c r="L45" s="474">
        <f t="shared" si="117"/>
        <v>2</v>
      </c>
      <c r="M45" s="474">
        <f t="shared" si="117"/>
        <v>2</v>
      </c>
      <c r="N45" s="474">
        <f t="shared" si="117"/>
        <v>2</v>
      </c>
      <c r="O45" s="474">
        <f t="shared" si="117"/>
        <v>2</v>
      </c>
      <c r="P45" s="474">
        <f t="shared" si="117"/>
        <v>2</v>
      </c>
      <c r="Q45" s="474">
        <f t="shared" si="117"/>
        <v>2</v>
      </c>
      <c r="R45" s="474">
        <f t="shared" si="93"/>
        <v>2</v>
      </c>
      <c r="S45" s="474">
        <f t="shared" si="94"/>
        <v>2</v>
      </c>
      <c r="T45" s="474">
        <f t="shared" si="95"/>
        <v>2</v>
      </c>
      <c r="U45" s="474">
        <f t="shared" si="96"/>
        <v>2</v>
      </c>
      <c r="V45" s="474">
        <f t="shared" si="97"/>
        <v>2</v>
      </c>
      <c r="W45" s="474">
        <f t="shared" si="98"/>
        <v>2</v>
      </c>
      <c r="X45" s="474">
        <f t="shared" si="99"/>
        <v>2</v>
      </c>
      <c r="Y45" s="474">
        <f t="shared" si="100"/>
        <v>2</v>
      </c>
      <c r="Z45" s="474">
        <f t="shared" si="101"/>
        <v>2</v>
      </c>
      <c r="AA45" s="474">
        <f t="shared" si="102"/>
        <v>2</v>
      </c>
      <c r="AB45" s="474">
        <f t="shared" si="103"/>
        <v>2</v>
      </c>
      <c r="AC45" s="474">
        <f t="shared" si="104"/>
        <v>2</v>
      </c>
      <c r="AD45" s="474">
        <f t="shared" si="105"/>
        <v>2</v>
      </c>
      <c r="AE45" s="474">
        <f t="shared" si="106"/>
        <v>2</v>
      </c>
      <c r="AF45" s="474">
        <f t="shared" si="107"/>
        <v>2</v>
      </c>
      <c r="AG45" s="474">
        <f t="shared" si="108"/>
        <v>2</v>
      </c>
      <c r="AH45" s="474">
        <f t="shared" si="109"/>
        <v>2</v>
      </c>
      <c r="AI45" s="474">
        <f t="shared" si="110"/>
        <v>2</v>
      </c>
      <c r="AJ45" s="474">
        <f t="shared" si="111"/>
        <v>2</v>
      </c>
      <c r="AK45" s="474">
        <f t="shared" si="112"/>
        <v>2</v>
      </c>
      <c r="AL45" s="474">
        <f t="shared" si="113"/>
        <v>2</v>
      </c>
      <c r="AM45" s="474">
        <f t="shared" si="114"/>
        <v>2</v>
      </c>
      <c r="AN45" s="474">
        <f t="shared" si="115"/>
        <v>2</v>
      </c>
      <c r="AO45" s="474">
        <f t="shared" si="116"/>
        <v>2</v>
      </c>
    </row>
    <row r="46" spans="2:41">
      <c r="B46" s="57" t="s">
        <v>76</v>
      </c>
      <c r="C46" s="57"/>
      <c r="D46" s="57"/>
      <c r="E46" s="57"/>
      <c r="F46" s="475">
        <f t="shared" ref="F46:Q46" si="118">SUM(F43:F45)</f>
        <v>9.5</v>
      </c>
      <c r="G46" s="475">
        <f t="shared" si="118"/>
        <v>9.5</v>
      </c>
      <c r="H46" s="475">
        <f t="shared" si="118"/>
        <v>9.5</v>
      </c>
      <c r="I46" s="475">
        <f t="shared" si="118"/>
        <v>9.5</v>
      </c>
      <c r="J46" s="475">
        <f t="shared" si="118"/>
        <v>9.5</v>
      </c>
      <c r="K46" s="475">
        <f t="shared" si="118"/>
        <v>9.5</v>
      </c>
      <c r="L46" s="475">
        <f t="shared" si="118"/>
        <v>9.5</v>
      </c>
      <c r="M46" s="475">
        <f t="shared" si="118"/>
        <v>9.5</v>
      </c>
      <c r="N46" s="475">
        <f t="shared" si="118"/>
        <v>9.5</v>
      </c>
      <c r="O46" s="475">
        <f t="shared" si="118"/>
        <v>9.5</v>
      </c>
      <c r="P46" s="475">
        <f t="shared" si="118"/>
        <v>9.5</v>
      </c>
      <c r="Q46" s="475">
        <f t="shared" si="118"/>
        <v>9.5</v>
      </c>
      <c r="R46" s="475">
        <f t="shared" ref="R46:AO46" si="119">SUM(R43:R45)</f>
        <v>9.5</v>
      </c>
      <c r="S46" s="475">
        <f t="shared" si="119"/>
        <v>9.5</v>
      </c>
      <c r="T46" s="475">
        <f t="shared" si="119"/>
        <v>9.5</v>
      </c>
      <c r="U46" s="475">
        <f t="shared" si="119"/>
        <v>9.5</v>
      </c>
      <c r="V46" s="475">
        <f t="shared" si="119"/>
        <v>9.5</v>
      </c>
      <c r="W46" s="475">
        <f t="shared" si="119"/>
        <v>9.5</v>
      </c>
      <c r="X46" s="475">
        <f t="shared" si="119"/>
        <v>9.5</v>
      </c>
      <c r="Y46" s="475">
        <f t="shared" si="119"/>
        <v>9.5</v>
      </c>
      <c r="Z46" s="475">
        <f t="shared" si="119"/>
        <v>9.5</v>
      </c>
      <c r="AA46" s="475">
        <f t="shared" si="119"/>
        <v>9.5</v>
      </c>
      <c r="AB46" s="475">
        <f t="shared" si="119"/>
        <v>9.5</v>
      </c>
      <c r="AC46" s="475">
        <f t="shared" si="119"/>
        <v>9.5</v>
      </c>
      <c r="AD46" s="475">
        <f t="shared" si="119"/>
        <v>9.5</v>
      </c>
      <c r="AE46" s="475">
        <f t="shared" si="119"/>
        <v>9.5</v>
      </c>
      <c r="AF46" s="475">
        <f t="shared" si="119"/>
        <v>9.5</v>
      </c>
      <c r="AG46" s="475">
        <f t="shared" si="119"/>
        <v>9.5</v>
      </c>
      <c r="AH46" s="475">
        <f t="shared" si="119"/>
        <v>9.5</v>
      </c>
      <c r="AI46" s="475">
        <f t="shared" si="119"/>
        <v>9.5</v>
      </c>
      <c r="AJ46" s="475">
        <f t="shared" si="119"/>
        <v>9.5</v>
      </c>
      <c r="AK46" s="475">
        <f t="shared" si="119"/>
        <v>9.5</v>
      </c>
      <c r="AL46" s="475">
        <f t="shared" si="119"/>
        <v>9.5</v>
      </c>
      <c r="AM46" s="475">
        <f t="shared" si="119"/>
        <v>9.5</v>
      </c>
      <c r="AN46" s="475">
        <f t="shared" si="119"/>
        <v>9.5</v>
      </c>
      <c r="AO46" s="475">
        <f t="shared" si="119"/>
        <v>9.5</v>
      </c>
    </row>
    <row r="47" spans="2:41">
      <c r="B47" s="57"/>
      <c r="C47" s="57"/>
      <c r="D47" s="57"/>
      <c r="E47" s="57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</row>
    <row r="48" spans="2:41"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</row>
    <row r="49" spans="2:41">
      <c r="B49" s="301" t="s">
        <v>77</v>
      </c>
      <c r="C49" s="301"/>
      <c r="D49" s="301"/>
      <c r="E49" s="301"/>
      <c r="F49" s="331">
        <f>+F46+F41</f>
        <v>12.833333333333334</v>
      </c>
      <c r="G49" s="331">
        <f t="shared" ref="G49:Q49" si="120">+G46+G41</f>
        <v>12.833333333333334</v>
      </c>
      <c r="H49" s="331">
        <f t="shared" si="120"/>
        <v>12.833333333333334</v>
      </c>
      <c r="I49" s="331">
        <f t="shared" si="120"/>
        <v>12.833333333333334</v>
      </c>
      <c r="J49" s="331">
        <f t="shared" si="120"/>
        <v>12.833333333333334</v>
      </c>
      <c r="K49" s="331">
        <f t="shared" si="120"/>
        <v>12.833333333333334</v>
      </c>
      <c r="L49" s="331">
        <f t="shared" si="120"/>
        <v>12.833333333333334</v>
      </c>
      <c r="M49" s="331">
        <f t="shared" si="120"/>
        <v>12.833333333333334</v>
      </c>
      <c r="N49" s="331">
        <f t="shared" si="120"/>
        <v>12.833333333333334</v>
      </c>
      <c r="O49" s="331">
        <f t="shared" si="120"/>
        <v>12.833333333333334</v>
      </c>
      <c r="P49" s="331">
        <f t="shared" si="120"/>
        <v>12.833333333333334</v>
      </c>
      <c r="Q49" s="331">
        <f t="shared" si="120"/>
        <v>12.833333333333334</v>
      </c>
      <c r="R49" s="331">
        <f t="shared" ref="R49:AO49" si="121">+R46+R41</f>
        <v>12.833333333333334</v>
      </c>
      <c r="S49" s="331">
        <f t="shared" si="121"/>
        <v>12.833333333333334</v>
      </c>
      <c r="T49" s="331">
        <f t="shared" si="121"/>
        <v>12.833333333333334</v>
      </c>
      <c r="U49" s="331">
        <f t="shared" si="121"/>
        <v>12.833333333333334</v>
      </c>
      <c r="V49" s="331">
        <f t="shared" si="121"/>
        <v>12.833333333333334</v>
      </c>
      <c r="W49" s="331">
        <f t="shared" si="121"/>
        <v>12.833333333333334</v>
      </c>
      <c r="X49" s="331">
        <f t="shared" si="121"/>
        <v>12.833333333333334</v>
      </c>
      <c r="Y49" s="331">
        <f t="shared" si="121"/>
        <v>12.833333333333334</v>
      </c>
      <c r="Z49" s="331">
        <f t="shared" si="121"/>
        <v>12.833333333333334</v>
      </c>
      <c r="AA49" s="331">
        <f t="shared" si="121"/>
        <v>12.833333333333334</v>
      </c>
      <c r="AB49" s="331">
        <f t="shared" si="121"/>
        <v>12.833333333333334</v>
      </c>
      <c r="AC49" s="331">
        <f t="shared" si="121"/>
        <v>12.833333333333334</v>
      </c>
      <c r="AD49" s="331">
        <f t="shared" si="121"/>
        <v>12.833333333333334</v>
      </c>
      <c r="AE49" s="331">
        <f t="shared" si="121"/>
        <v>12.833333333333334</v>
      </c>
      <c r="AF49" s="331">
        <f t="shared" si="121"/>
        <v>12.833333333333334</v>
      </c>
      <c r="AG49" s="331">
        <f t="shared" si="121"/>
        <v>12.833333333333334</v>
      </c>
      <c r="AH49" s="331">
        <f t="shared" si="121"/>
        <v>12.833333333333334</v>
      </c>
      <c r="AI49" s="331">
        <f t="shared" si="121"/>
        <v>12.833333333333334</v>
      </c>
      <c r="AJ49" s="331">
        <f t="shared" si="121"/>
        <v>12.833333333333334</v>
      </c>
      <c r="AK49" s="331">
        <f t="shared" si="121"/>
        <v>12.833333333333334</v>
      </c>
      <c r="AL49" s="331">
        <f t="shared" si="121"/>
        <v>12.833333333333334</v>
      </c>
      <c r="AM49" s="331">
        <f t="shared" si="121"/>
        <v>12.833333333333334</v>
      </c>
      <c r="AN49" s="331">
        <f t="shared" si="121"/>
        <v>12.833333333333334</v>
      </c>
      <c r="AO49" s="331">
        <f t="shared" si="121"/>
        <v>12.833333333333334</v>
      </c>
    </row>
    <row r="50" spans="2:41">
      <c r="B50" s="7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</row>
    <row r="51" spans="2:41" ht="16" thickBot="1">
      <c r="B51" s="341" t="s">
        <v>569</v>
      </c>
      <c r="C51" s="342"/>
      <c r="D51" s="342"/>
      <c r="E51" s="342"/>
      <c r="F51" s="344">
        <f>+F38</f>
        <v>46053</v>
      </c>
      <c r="G51" s="344">
        <f t="shared" ref="G51:AO51" si="122">+G38</f>
        <v>46054</v>
      </c>
      <c r="H51" s="344">
        <f t="shared" si="122"/>
        <v>46082</v>
      </c>
      <c r="I51" s="344">
        <f t="shared" si="122"/>
        <v>46113</v>
      </c>
      <c r="J51" s="344">
        <f t="shared" si="122"/>
        <v>46143</v>
      </c>
      <c r="K51" s="344">
        <f t="shared" si="122"/>
        <v>46174</v>
      </c>
      <c r="L51" s="344">
        <f t="shared" si="122"/>
        <v>46204</v>
      </c>
      <c r="M51" s="344">
        <f t="shared" si="122"/>
        <v>46235</v>
      </c>
      <c r="N51" s="344">
        <f t="shared" si="122"/>
        <v>46266</v>
      </c>
      <c r="O51" s="344">
        <f t="shared" si="122"/>
        <v>46296</v>
      </c>
      <c r="P51" s="344">
        <f t="shared" si="122"/>
        <v>46327</v>
      </c>
      <c r="Q51" s="344">
        <f t="shared" si="122"/>
        <v>46357</v>
      </c>
      <c r="R51" s="344">
        <f t="shared" si="122"/>
        <v>46388</v>
      </c>
      <c r="S51" s="344">
        <f t="shared" si="122"/>
        <v>46419</v>
      </c>
      <c r="T51" s="344">
        <f t="shared" si="122"/>
        <v>46447</v>
      </c>
      <c r="U51" s="344">
        <f t="shared" si="122"/>
        <v>46478</v>
      </c>
      <c r="V51" s="344">
        <f t="shared" si="122"/>
        <v>46508</v>
      </c>
      <c r="W51" s="344">
        <f t="shared" si="122"/>
        <v>46539</v>
      </c>
      <c r="X51" s="344">
        <f t="shared" si="122"/>
        <v>46569</v>
      </c>
      <c r="Y51" s="344">
        <f t="shared" si="122"/>
        <v>46600</v>
      </c>
      <c r="Z51" s="344">
        <f t="shared" si="122"/>
        <v>46631</v>
      </c>
      <c r="AA51" s="344">
        <f t="shared" si="122"/>
        <v>46661</v>
      </c>
      <c r="AB51" s="344">
        <f t="shared" si="122"/>
        <v>46692</v>
      </c>
      <c r="AC51" s="344">
        <f t="shared" si="122"/>
        <v>46722</v>
      </c>
      <c r="AD51" s="344">
        <f t="shared" si="122"/>
        <v>46753</v>
      </c>
      <c r="AE51" s="344">
        <f t="shared" si="122"/>
        <v>46784</v>
      </c>
      <c r="AF51" s="344">
        <f t="shared" si="122"/>
        <v>46813</v>
      </c>
      <c r="AG51" s="344">
        <f t="shared" si="122"/>
        <v>46844</v>
      </c>
      <c r="AH51" s="344">
        <f t="shared" si="122"/>
        <v>46874</v>
      </c>
      <c r="AI51" s="344">
        <f t="shared" si="122"/>
        <v>46905</v>
      </c>
      <c r="AJ51" s="344">
        <f t="shared" si="122"/>
        <v>46935</v>
      </c>
      <c r="AK51" s="344">
        <f t="shared" si="122"/>
        <v>46966</v>
      </c>
      <c r="AL51" s="344">
        <f t="shared" si="122"/>
        <v>46997</v>
      </c>
      <c r="AM51" s="344">
        <f t="shared" si="122"/>
        <v>47027</v>
      </c>
      <c r="AN51" s="344">
        <f t="shared" si="122"/>
        <v>47058</v>
      </c>
      <c r="AO51" s="344">
        <f t="shared" si="122"/>
        <v>47088</v>
      </c>
    </row>
    <row r="52" spans="2:41">
      <c r="B52" s="71"/>
      <c r="H52" s="128"/>
    </row>
    <row r="53" spans="2:41">
      <c r="B53" s="130" t="s">
        <v>14</v>
      </c>
      <c r="F53" s="474">
        <f>+F40</f>
        <v>40</v>
      </c>
      <c r="G53" s="474">
        <f>+F40+G40</f>
        <v>80</v>
      </c>
      <c r="H53" s="474">
        <f>+F40+G40+H40</f>
        <v>120</v>
      </c>
      <c r="I53" s="474">
        <f>SUM(F40:I40)</f>
        <v>160</v>
      </c>
      <c r="J53" s="474">
        <f>SUM(F40:J40)</f>
        <v>200</v>
      </c>
      <c r="K53" s="474">
        <f>SUM(F40:K40)</f>
        <v>240</v>
      </c>
      <c r="L53" s="474">
        <f>SUM(F40:L40)</f>
        <v>280</v>
      </c>
      <c r="M53" s="474">
        <f>SUM(F40:M40)</f>
        <v>320</v>
      </c>
      <c r="N53" s="474">
        <f>SUM(F40:N40)</f>
        <v>360</v>
      </c>
      <c r="O53" s="474">
        <f>SUM(F40:O40)</f>
        <v>400</v>
      </c>
      <c r="P53" s="474">
        <f>SUM(F40:P40)</f>
        <v>440</v>
      </c>
      <c r="Q53" s="474">
        <f>SUM(F40:Q40)</f>
        <v>480</v>
      </c>
      <c r="R53" s="474">
        <f t="shared" ref="R53:AO53" si="123">SUM(G40:R40)</f>
        <v>480</v>
      </c>
      <c r="S53" s="474">
        <f t="shared" si="123"/>
        <v>480</v>
      </c>
      <c r="T53" s="474">
        <f t="shared" si="123"/>
        <v>480</v>
      </c>
      <c r="U53" s="474">
        <f t="shared" si="123"/>
        <v>480</v>
      </c>
      <c r="V53" s="474">
        <f t="shared" si="123"/>
        <v>480</v>
      </c>
      <c r="W53" s="474">
        <f t="shared" si="123"/>
        <v>480</v>
      </c>
      <c r="X53" s="474">
        <f t="shared" si="123"/>
        <v>480</v>
      </c>
      <c r="Y53" s="474">
        <f t="shared" si="123"/>
        <v>480</v>
      </c>
      <c r="Z53" s="474">
        <f t="shared" si="123"/>
        <v>480</v>
      </c>
      <c r="AA53" s="474">
        <f t="shared" si="123"/>
        <v>480</v>
      </c>
      <c r="AB53" s="474">
        <f t="shared" si="123"/>
        <v>480</v>
      </c>
      <c r="AC53" s="474">
        <f t="shared" si="123"/>
        <v>480</v>
      </c>
      <c r="AD53" s="474">
        <f t="shared" si="123"/>
        <v>480</v>
      </c>
      <c r="AE53" s="474">
        <f t="shared" si="123"/>
        <v>480</v>
      </c>
      <c r="AF53" s="474">
        <f t="shared" si="123"/>
        <v>480</v>
      </c>
      <c r="AG53" s="474">
        <f t="shared" si="123"/>
        <v>480</v>
      </c>
      <c r="AH53" s="474">
        <f t="shared" si="123"/>
        <v>480</v>
      </c>
      <c r="AI53" s="474">
        <f t="shared" si="123"/>
        <v>480</v>
      </c>
      <c r="AJ53" s="474">
        <f t="shared" si="123"/>
        <v>480</v>
      </c>
      <c r="AK53" s="474">
        <f t="shared" si="123"/>
        <v>480</v>
      </c>
      <c r="AL53" s="474">
        <f t="shared" si="123"/>
        <v>480</v>
      </c>
      <c r="AM53" s="474">
        <f t="shared" si="123"/>
        <v>480</v>
      </c>
      <c r="AN53" s="474">
        <f t="shared" si="123"/>
        <v>480</v>
      </c>
      <c r="AO53" s="474">
        <f t="shared" si="123"/>
        <v>480</v>
      </c>
    </row>
    <row r="54" spans="2:41">
      <c r="B54" s="57" t="s">
        <v>75</v>
      </c>
      <c r="C54" s="57"/>
      <c r="D54" s="57"/>
      <c r="E54" s="57"/>
      <c r="F54" s="475">
        <f>IF(E9&gt;0, E9/($C$8*12), 0)</f>
        <v>3.3333333333333335</v>
      </c>
      <c r="G54" s="475">
        <f t="shared" ref="G54:P54" si="124">F54 + G41</f>
        <v>6.666666666666667</v>
      </c>
      <c r="H54" s="475">
        <f t="shared" si="124"/>
        <v>10</v>
      </c>
      <c r="I54" s="475">
        <f t="shared" si="124"/>
        <v>13.333333333333334</v>
      </c>
      <c r="J54" s="475">
        <f t="shared" si="124"/>
        <v>16.666666666666668</v>
      </c>
      <c r="K54" s="475">
        <f t="shared" si="124"/>
        <v>20</v>
      </c>
      <c r="L54" s="475">
        <f t="shared" si="124"/>
        <v>23.333333333333332</v>
      </c>
      <c r="M54" s="475">
        <f t="shared" si="124"/>
        <v>26.666666666666664</v>
      </c>
      <c r="N54" s="475">
        <f t="shared" si="124"/>
        <v>29.999999999999996</v>
      </c>
      <c r="O54" s="475">
        <f t="shared" si="124"/>
        <v>33.333333333333329</v>
      </c>
      <c r="P54" s="475">
        <f t="shared" si="124"/>
        <v>36.666666666666664</v>
      </c>
      <c r="Q54" s="475">
        <f>P54 + Q41</f>
        <v>40</v>
      </c>
      <c r="R54" s="475">
        <f t="shared" ref="R54:AO54" si="125">Q54 + R41</f>
        <v>43.333333333333336</v>
      </c>
      <c r="S54" s="475">
        <f t="shared" si="125"/>
        <v>46.666666666666671</v>
      </c>
      <c r="T54" s="475">
        <f t="shared" si="125"/>
        <v>50.000000000000007</v>
      </c>
      <c r="U54" s="475">
        <f t="shared" si="125"/>
        <v>53.333333333333343</v>
      </c>
      <c r="V54" s="475">
        <f t="shared" si="125"/>
        <v>56.666666666666679</v>
      </c>
      <c r="W54" s="475">
        <f t="shared" si="125"/>
        <v>60.000000000000014</v>
      </c>
      <c r="X54" s="475">
        <f t="shared" si="125"/>
        <v>63.33333333333335</v>
      </c>
      <c r="Y54" s="475">
        <f t="shared" si="125"/>
        <v>66.666666666666686</v>
      </c>
      <c r="Z54" s="475">
        <f t="shared" si="125"/>
        <v>70.000000000000014</v>
      </c>
      <c r="AA54" s="475">
        <f t="shared" si="125"/>
        <v>73.333333333333343</v>
      </c>
      <c r="AB54" s="475">
        <f t="shared" si="125"/>
        <v>76.666666666666671</v>
      </c>
      <c r="AC54" s="475">
        <f t="shared" si="125"/>
        <v>80</v>
      </c>
      <c r="AD54" s="475">
        <f t="shared" si="125"/>
        <v>83.333333333333329</v>
      </c>
      <c r="AE54" s="475">
        <f t="shared" si="125"/>
        <v>86.666666666666657</v>
      </c>
      <c r="AF54" s="475">
        <f t="shared" si="125"/>
        <v>89.999999999999986</v>
      </c>
      <c r="AG54" s="475">
        <f t="shared" si="125"/>
        <v>93.333333333333314</v>
      </c>
      <c r="AH54" s="475">
        <f t="shared" si="125"/>
        <v>96.666666666666643</v>
      </c>
      <c r="AI54" s="475">
        <f t="shared" si="125"/>
        <v>99.999999999999972</v>
      </c>
      <c r="AJ54" s="475">
        <f t="shared" si="125"/>
        <v>103.3333333333333</v>
      </c>
      <c r="AK54" s="475">
        <f t="shared" si="125"/>
        <v>106.66666666666663</v>
      </c>
      <c r="AL54" s="475">
        <f t="shared" si="125"/>
        <v>109.99999999999996</v>
      </c>
      <c r="AM54" s="475">
        <f t="shared" si="125"/>
        <v>113.33333333333329</v>
      </c>
      <c r="AN54" s="475">
        <f t="shared" si="125"/>
        <v>116.66666666666661</v>
      </c>
      <c r="AO54" s="475">
        <f t="shared" si="125"/>
        <v>119.99999999999994</v>
      </c>
    </row>
    <row r="55" spans="2:41">
      <c r="F55" s="73"/>
      <c r="G55" s="73"/>
      <c r="H55" s="73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</row>
    <row r="56" spans="2:41">
      <c r="B56" s="130" t="s">
        <v>234</v>
      </c>
      <c r="F56" s="476">
        <f t="shared" ref="F56:Q58" si="126">E56 + F43</f>
        <v>5.833333333333333</v>
      </c>
      <c r="G56" s="474">
        <f t="shared" si="126"/>
        <v>11.666666666666666</v>
      </c>
      <c r="H56" s="474">
        <f t="shared" si="126"/>
        <v>17.5</v>
      </c>
      <c r="I56" s="474">
        <f t="shared" si="126"/>
        <v>23.333333333333332</v>
      </c>
      <c r="J56" s="474">
        <f t="shared" si="126"/>
        <v>29.166666666666664</v>
      </c>
      <c r="K56" s="474">
        <f t="shared" si="126"/>
        <v>35</v>
      </c>
      <c r="L56" s="474">
        <f t="shared" si="126"/>
        <v>40.833333333333336</v>
      </c>
      <c r="M56" s="474">
        <f t="shared" si="126"/>
        <v>46.666666666666671</v>
      </c>
      <c r="N56" s="474">
        <f t="shared" si="126"/>
        <v>52.500000000000007</v>
      </c>
      <c r="O56" s="474">
        <f t="shared" si="126"/>
        <v>58.333333333333343</v>
      </c>
      <c r="P56" s="474">
        <f t="shared" si="126"/>
        <v>64.166666666666671</v>
      </c>
      <c r="Q56" s="474">
        <f t="shared" si="126"/>
        <v>70</v>
      </c>
      <c r="R56" s="474">
        <f t="shared" ref="R56:R58" si="127">Q56 + R43</f>
        <v>75.833333333333329</v>
      </c>
      <c r="S56" s="474">
        <f t="shared" ref="S56:S58" si="128">R56 + S43</f>
        <v>81.666666666666657</v>
      </c>
      <c r="T56" s="474">
        <f t="shared" ref="T56:T58" si="129">S56 + T43</f>
        <v>87.499999999999986</v>
      </c>
      <c r="U56" s="474">
        <f t="shared" ref="U56:U58" si="130">T56 + U43</f>
        <v>93.333333333333314</v>
      </c>
      <c r="V56" s="474">
        <f t="shared" ref="V56:V58" si="131">U56 + V43</f>
        <v>99.166666666666643</v>
      </c>
      <c r="W56" s="474">
        <f t="shared" ref="W56:W58" si="132">V56 + W43</f>
        <v>104.99999999999997</v>
      </c>
      <c r="X56" s="474">
        <f t="shared" ref="X56:X58" si="133">W56 + X43</f>
        <v>110.8333333333333</v>
      </c>
      <c r="Y56" s="474">
        <f t="shared" ref="Y56:Y58" si="134">X56 + Y43</f>
        <v>116.66666666666663</v>
      </c>
      <c r="Z56" s="474">
        <f t="shared" ref="Z56:Z58" si="135">Y56 + Z43</f>
        <v>122.49999999999996</v>
      </c>
      <c r="AA56" s="474">
        <f t="shared" ref="AA56:AA58" si="136">Z56 + AA43</f>
        <v>128.33333333333329</v>
      </c>
      <c r="AB56" s="474">
        <f t="shared" ref="AB56:AB58" si="137">AA56 + AB43</f>
        <v>134.16666666666663</v>
      </c>
      <c r="AC56" s="474">
        <f t="shared" ref="AC56:AC58" si="138">AB56 + AC43</f>
        <v>139.99999999999997</v>
      </c>
      <c r="AD56" s="474">
        <f t="shared" ref="AD56:AD58" si="139">AC56 + AD43</f>
        <v>145.83333333333331</v>
      </c>
      <c r="AE56" s="474">
        <f t="shared" ref="AE56:AE58" si="140">AD56 + AE43</f>
        <v>151.66666666666666</v>
      </c>
      <c r="AF56" s="474">
        <f t="shared" ref="AF56:AF58" si="141">AE56 + AF43</f>
        <v>157.5</v>
      </c>
      <c r="AG56" s="474">
        <f t="shared" ref="AG56:AG58" si="142">AF56 + AG43</f>
        <v>163.33333333333334</v>
      </c>
      <c r="AH56" s="474">
        <f t="shared" ref="AH56:AH58" si="143">AG56 + AH43</f>
        <v>169.16666666666669</v>
      </c>
      <c r="AI56" s="474">
        <f t="shared" ref="AI56:AI58" si="144">AH56 + AI43</f>
        <v>175.00000000000003</v>
      </c>
      <c r="AJ56" s="474">
        <f t="shared" ref="AJ56:AJ58" si="145">AI56 + AJ43</f>
        <v>180.83333333333337</v>
      </c>
      <c r="AK56" s="474">
        <f t="shared" ref="AK56:AK58" si="146">AJ56 + AK43</f>
        <v>186.66666666666671</v>
      </c>
      <c r="AL56" s="474">
        <f t="shared" ref="AL56:AL58" si="147">AK56 + AL43</f>
        <v>192.50000000000006</v>
      </c>
      <c r="AM56" s="474">
        <f t="shared" ref="AM56:AM58" si="148">AL56 + AM43</f>
        <v>198.3333333333334</v>
      </c>
      <c r="AN56" s="474">
        <f t="shared" ref="AN56:AN58" si="149">AM56 + AN43</f>
        <v>204.16666666666674</v>
      </c>
      <c r="AO56" s="474">
        <f t="shared" ref="AO56:AO58" si="150">AN56 + AO43</f>
        <v>210.00000000000009</v>
      </c>
    </row>
    <row r="57" spans="2:41">
      <c r="B57" s="130" t="s">
        <v>235</v>
      </c>
      <c r="F57" s="474">
        <f t="shared" si="126"/>
        <v>1.6666666666666667</v>
      </c>
      <c r="G57" s="474">
        <f t="shared" si="126"/>
        <v>3.3333333333333335</v>
      </c>
      <c r="H57" s="474">
        <f t="shared" si="126"/>
        <v>5</v>
      </c>
      <c r="I57" s="474">
        <f t="shared" si="126"/>
        <v>6.666666666666667</v>
      </c>
      <c r="J57" s="474">
        <f t="shared" si="126"/>
        <v>8.3333333333333339</v>
      </c>
      <c r="K57" s="474">
        <f t="shared" si="126"/>
        <v>10</v>
      </c>
      <c r="L57" s="474">
        <f t="shared" si="126"/>
        <v>11.666666666666666</v>
      </c>
      <c r="M57" s="474">
        <f t="shared" si="126"/>
        <v>13.333333333333332</v>
      </c>
      <c r="N57" s="474">
        <f t="shared" si="126"/>
        <v>14.999999999999998</v>
      </c>
      <c r="O57" s="474">
        <f t="shared" si="126"/>
        <v>16.666666666666664</v>
      </c>
      <c r="P57" s="474">
        <f t="shared" si="126"/>
        <v>18.333333333333332</v>
      </c>
      <c r="Q57" s="474">
        <f t="shared" si="126"/>
        <v>20</v>
      </c>
      <c r="R57" s="474">
        <f t="shared" si="127"/>
        <v>21.666666666666668</v>
      </c>
      <c r="S57" s="474">
        <f t="shared" si="128"/>
        <v>23.333333333333336</v>
      </c>
      <c r="T57" s="474">
        <f t="shared" si="129"/>
        <v>25.000000000000004</v>
      </c>
      <c r="U57" s="474">
        <f t="shared" si="130"/>
        <v>26.666666666666671</v>
      </c>
      <c r="V57" s="474">
        <f t="shared" si="131"/>
        <v>28.333333333333339</v>
      </c>
      <c r="W57" s="474">
        <f t="shared" si="132"/>
        <v>30.000000000000007</v>
      </c>
      <c r="X57" s="474">
        <f t="shared" si="133"/>
        <v>31.666666666666675</v>
      </c>
      <c r="Y57" s="474">
        <f t="shared" si="134"/>
        <v>33.333333333333343</v>
      </c>
      <c r="Z57" s="474">
        <f t="shared" si="135"/>
        <v>35.000000000000007</v>
      </c>
      <c r="AA57" s="474">
        <f t="shared" si="136"/>
        <v>36.666666666666671</v>
      </c>
      <c r="AB57" s="474">
        <f t="shared" si="137"/>
        <v>38.333333333333336</v>
      </c>
      <c r="AC57" s="474">
        <f t="shared" si="138"/>
        <v>40</v>
      </c>
      <c r="AD57" s="474">
        <f t="shared" si="139"/>
        <v>41.666666666666664</v>
      </c>
      <c r="AE57" s="474">
        <f t="shared" si="140"/>
        <v>43.333333333333329</v>
      </c>
      <c r="AF57" s="474">
        <f t="shared" si="141"/>
        <v>44.999999999999993</v>
      </c>
      <c r="AG57" s="474">
        <f t="shared" si="142"/>
        <v>46.666666666666657</v>
      </c>
      <c r="AH57" s="474">
        <f t="shared" si="143"/>
        <v>48.333333333333321</v>
      </c>
      <c r="AI57" s="474">
        <f t="shared" si="144"/>
        <v>49.999999999999986</v>
      </c>
      <c r="AJ57" s="474">
        <f t="shared" si="145"/>
        <v>51.66666666666665</v>
      </c>
      <c r="AK57" s="474">
        <f t="shared" si="146"/>
        <v>53.333333333333314</v>
      </c>
      <c r="AL57" s="474">
        <f t="shared" si="147"/>
        <v>54.999999999999979</v>
      </c>
      <c r="AM57" s="474">
        <f t="shared" si="148"/>
        <v>56.666666666666643</v>
      </c>
      <c r="AN57" s="474">
        <f t="shared" si="149"/>
        <v>58.333333333333307</v>
      </c>
      <c r="AO57" s="474">
        <f t="shared" si="150"/>
        <v>59.999999999999972</v>
      </c>
    </row>
    <row r="58" spans="2:41">
      <c r="B58" s="130" t="s">
        <v>236</v>
      </c>
      <c r="F58" s="474">
        <f t="shared" si="126"/>
        <v>2</v>
      </c>
      <c r="G58" s="474">
        <f t="shared" si="126"/>
        <v>4</v>
      </c>
      <c r="H58" s="474">
        <f t="shared" si="126"/>
        <v>6</v>
      </c>
      <c r="I58" s="474">
        <f t="shared" si="126"/>
        <v>8</v>
      </c>
      <c r="J58" s="474">
        <f t="shared" si="126"/>
        <v>10</v>
      </c>
      <c r="K58" s="474">
        <f t="shared" si="126"/>
        <v>12</v>
      </c>
      <c r="L58" s="474">
        <f t="shared" si="126"/>
        <v>14</v>
      </c>
      <c r="M58" s="474">
        <f t="shared" si="126"/>
        <v>16</v>
      </c>
      <c r="N58" s="474">
        <f t="shared" si="126"/>
        <v>18</v>
      </c>
      <c r="O58" s="474">
        <f t="shared" si="126"/>
        <v>20</v>
      </c>
      <c r="P58" s="474">
        <f t="shared" si="126"/>
        <v>22</v>
      </c>
      <c r="Q58" s="474">
        <f t="shared" si="126"/>
        <v>24</v>
      </c>
      <c r="R58" s="474">
        <f t="shared" si="127"/>
        <v>26</v>
      </c>
      <c r="S58" s="474">
        <f t="shared" si="128"/>
        <v>28</v>
      </c>
      <c r="T58" s="474">
        <f t="shared" si="129"/>
        <v>30</v>
      </c>
      <c r="U58" s="474">
        <f t="shared" si="130"/>
        <v>32</v>
      </c>
      <c r="V58" s="474">
        <f t="shared" si="131"/>
        <v>34</v>
      </c>
      <c r="W58" s="474">
        <f t="shared" si="132"/>
        <v>36</v>
      </c>
      <c r="X58" s="474">
        <f t="shared" si="133"/>
        <v>38</v>
      </c>
      <c r="Y58" s="474">
        <f t="shared" si="134"/>
        <v>40</v>
      </c>
      <c r="Z58" s="474">
        <f t="shared" si="135"/>
        <v>42</v>
      </c>
      <c r="AA58" s="474">
        <f t="shared" si="136"/>
        <v>44</v>
      </c>
      <c r="AB58" s="474">
        <f t="shared" si="137"/>
        <v>46</v>
      </c>
      <c r="AC58" s="474">
        <f t="shared" si="138"/>
        <v>48</v>
      </c>
      <c r="AD58" s="474">
        <f t="shared" si="139"/>
        <v>50</v>
      </c>
      <c r="AE58" s="474">
        <f t="shared" si="140"/>
        <v>52</v>
      </c>
      <c r="AF58" s="474">
        <f t="shared" si="141"/>
        <v>54</v>
      </c>
      <c r="AG58" s="474">
        <f t="shared" si="142"/>
        <v>56</v>
      </c>
      <c r="AH58" s="474">
        <f t="shared" si="143"/>
        <v>58</v>
      </c>
      <c r="AI58" s="474">
        <f t="shared" si="144"/>
        <v>60</v>
      </c>
      <c r="AJ58" s="474">
        <f t="shared" si="145"/>
        <v>62</v>
      </c>
      <c r="AK58" s="474">
        <f t="shared" si="146"/>
        <v>64</v>
      </c>
      <c r="AL58" s="474">
        <f t="shared" si="147"/>
        <v>66</v>
      </c>
      <c r="AM58" s="474">
        <f t="shared" si="148"/>
        <v>68</v>
      </c>
      <c r="AN58" s="474">
        <f t="shared" si="149"/>
        <v>70</v>
      </c>
      <c r="AO58" s="474">
        <f t="shared" si="150"/>
        <v>72</v>
      </c>
    </row>
    <row r="59" spans="2:41">
      <c r="B59" s="57" t="s">
        <v>76</v>
      </c>
      <c r="C59" s="57"/>
      <c r="D59" s="57"/>
      <c r="E59" s="57"/>
      <c r="F59" s="475">
        <f>SUM(F56:F58)</f>
        <v>9.5</v>
      </c>
      <c r="G59" s="475">
        <f>SUM(G56:G58)</f>
        <v>19</v>
      </c>
      <c r="H59" s="475">
        <f>SUM(H56:H58)</f>
        <v>28.5</v>
      </c>
      <c r="I59" s="475">
        <f>SUM(I56:I58)</f>
        <v>38</v>
      </c>
      <c r="J59" s="475">
        <f>SUM(J56:J58)</f>
        <v>47.5</v>
      </c>
      <c r="K59" s="475">
        <f t="shared" ref="K59:P59" si="151">SUM(K56:K58)</f>
        <v>57</v>
      </c>
      <c r="L59" s="475">
        <f t="shared" si="151"/>
        <v>66.5</v>
      </c>
      <c r="M59" s="475">
        <f t="shared" si="151"/>
        <v>76</v>
      </c>
      <c r="N59" s="475">
        <f t="shared" si="151"/>
        <v>85.5</v>
      </c>
      <c r="O59" s="475">
        <f t="shared" si="151"/>
        <v>95</v>
      </c>
      <c r="P59" s="475">
        <f t="shared" si="151"/>
        <v>104.5</v>
      </c>
      <c r="Q59" s="475">
        <f>SUM(Q56:Q58)</f>
        <v>114</v>
      </c>
      <c r="R59" s="475">
        <f t="shared" ref="R59:AO59" si="152">SUM(R56:R58)</f>
        <v>123.5</v>
      </c>
      <c r="S59" s="475">
        <f t="shared" si="152"/>
        <v>133</v>
      </c>
      <c r="T59" s="475">
        <f t="shared" si="152"/>
        <v>142.5</v>
      </c>
      <c r="U59" s="475">
        <f t="shared" si="152"/>
        <v>152</v>
      </c>
      <c r="V59" s="475">
        <f t="shared" si="152"/>
        <v>161.5</v>
      </c>
      <c r="W59" s="475">
        <f t="shared" si="152"/>
        <v>170.99999999999997</v>
      </c>
      <c r="X59" s="475">
        <f t="shared" si="152"/>
        <v>180.49999999999997</v>
      </c>
      <c r="Y59" s="475">
        <f t="shared" si="152"/>
        <v>189.99999999999997</v>
      </c>
      <c r="Z59" s="475">
        <f t="shared" si="152"/>
        <v>199.49999999999997</v>
      </c>
      <c r="AA59" s="475">
        <f t="shared" si="152"/>
        <v>208.99999999999994</v>
      </c>
      <c r="AB59" s="475">
        <f t="shared" si="152"/>
        <v>218.49999999999997</v>
      </c>
      <c r="AC59" s="475">
        <f t="shared" si="152"/>
        <v>227.99999999999997</v>
      </c>
      <c r="AD59" s="475">
        <f t="shared" si="152"/>
        <v>237.49999999999997</v>
      </c>
      <c r="AE59" s="475">
        <f t="shared" si="152"/>
        <v>247</v>
      </c>
      <c r="AF59" s="475">
        <f t="shared" si="152"/>
        <v>256.5</v>
      </c>
      <c r="AG59" s="475">
        <f t="shared" si="152"/>
        <v>266</v>
      </c>
      <c r="AH59" s="475">
        <f t="shared" si="152"/>
        <v>275.5</v>
      </c>
      <c r="AI59" s="475">
        <f t="shared" si="152"/>
        <v>285</v>
      </c>
      <c r="AJ59" s="475">
        <f t="shared" si="152"/>
        <v>294.5</v>
      </c>
      <c r="AK59" s="475">
        <f t="shared" si="152"/>
        <v>304</v>
      </c>
      <c r="AL59" s="475">
        <f t="shared" si="152"/>
        <v>313.5</v>
      </c>
      <c r="AM59" s="475">
        <f t="shared" si="152"/>
        <v>323.00000000000006</v>
      </c>
      <c r="AN59" s="475">
        <f t="shared" si="152"/>
        <v>332.50000000000006</v>
      </c>
      <c r="AO59" s="475">
        <f t="shared" si="152"/>
        <v>342.00000000000006</v>
      </c>
    </row>
    <row r="60" spans="2:41"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</row>
    <row r="61" spans="2:41">
      <c r="B61" s="301" t="s">
        <v>77</v>
      </c>
      <c r="C61" s="301"/>
      <c r="D61" s="301"/>
      <c r="E61" s="301"/>
      <c r="F61" s="331">
        <f t="shared" ref="F61:P61" si="153">+F59+F54</f>
        <v>12.833333333333334</v>
      </c>
      <c r="G61" s="331">
        <f t="shared" si="153"/>
        <v>25.666666666666668</v>
      </c>
      <c r="H61" s="331">
        <f t="shared" si="153"/>
        <v>38.5</v>
      </c>
      <c r="I61" s="331">
        <f t="shared" si="153"/>
        <v>51.333333333333336</v>
      </c>
      <c r="J61" s="331">
        <f t="shared" si="153"/>
        <v>64.166666666666671</v>
      </c>
      <c r="K61" s="331">
        <f t="shared" si="153"/>
        <v>77</v>
      </c>
      <c r="L61" s="331">
        <f t="shared" si="153"/>
        <v>89.833333333333329</v>
      </c>
      <c r="M61" s="331">
        <f t="shared" si="153"/>
        <v>102.66666666666666</v>
      </c>
      <c r="N61" s="331">
        <f t="shared" si="153"/>
        <v>115.5</v>
      </c>
      <c r="O61" s="331">
        <f t="shared" si="153"/>
        <v>128.33333333333331</v>
      </c>
      <c r="P61" s="331">
        <f t="shared" si="153"/>
        <v>141.16666666666666</v>
      </c>
      <c r="Q61" s="331">
        <f>+Q59+Q54</f>
        <v>154</v>
      </c>
      <c r="R61" s="331">
        <f t="shared" ref="R61:AO61" si="154">+R59+R54</f>
        <v>166.83333333333334</v>
      </c>
      <c r="S61" s="331">
        <f t="shared" si="154"/>
        <v>179.66666666666669</v>
      </c>
      <c r="T61" s="331">
        <f t="shared" si="154"/>
        <v>192.5</v>
      </c>
      <c r="U61" s="331">
        <f t="shared" si="154"/>
        <v>205.33333333333334</v>
      </c>
      <c r="V61" s="331">
        <f t="shared" si="154"/>
        <v>218.16666666666669</v>
      </c>
      <c r="W61" s="331">
        <f t="shared" si="154"/>
        <v>231</v>
      </c>
      <c r="X61" s="331">
        <f t="shared" si="154"/>
        <v>243.83333333333331</v>
      </c>
      <c r="Y61" s="331">
        <f t="shared" si="154"/>
        <v>256.66666666666663</v>
      </c>
      <c r="Z61" s="331">
        <f t="shared" si="154"/>
        <v>269.5</v>
      </c>
      <c r="AA61" s="331">
        <f t="shared" si="154"/>
        <v>282.33333333333326</v>
      </c>
      <c r="AB61" s="331">
        <f t="shared" si="154"/>
        <v>295.16666666666663</v>
      </c>
      <c r="AC61" s="331">
        <f t="shared" si="154"/>
        <v>308</v>
      </c>
      <c r="AD61" s="331">
        <f t="shared" si="154"/>
        <v>320.83333333333331</v>
      </c>
      <c r="AE61" s="331">
        <f t="shared" si="154"/>
        <v>333.66666666666663</v>
      </c>
      <c r="AF61" s="331">
        <f t="shared" si="154"/>
        <v>346.5</v>
      </c>
      <c r="AG61" s="331">
        <f t="shared" si="154"/>
        <v>359.33333333333331</v>
      </c>
      <c r="AH61" s="331">
        <f t="shared" si="154"/>
        <v>372.16666666666663</v>
      </c>
      <c r="AI61" s="331">
        <f t="shared" si="154"/>
        <v>385</v>
      </c>
      <c r="AJ61" s="331">
        <f t="shared" si="154"/>
        <v>397.83333333333331</v>
      </c>
      <c r="AK61" s="331">
        <f t="shared" si="154"/>
        <v>410.66666666666663</v>
      </c>
      <c r="AL61" s="331">
        <f t="shared" si="154"/>
        <v>423.49999999999994</v>
      </c>
      <c r="AM61" s="331">
        <f t="shared" si="154"/>
        <v>436.33333333333337</v>
      </c>
      <c r="AN61" s="331">
        <f t="shared" si="154"/>
        <v>449.16666666666669</v>
      </c>
      <c r="AO61" s="331">
        <f t="shared" si="154"/>
        <v>462</v>
      </c>
    </row>
    <row r="62" spans="2:41">
      <c r="B62" s="173"/>
      <c r="C62" s="173"/>
      <c r="D62" s="173"/>
      <c r="E62" s="173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</row>
    <row r="63" spans="2:41">
      <c r="B63" s="7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</row>
    <row r="64" spans="2:41" ht="16" thickBot="1">
      <c r="B64" s="341" t="s">
        <v>309</v>
      </c>
      <c r="C64" s="342"/>
      <c r="D64" s="342"/>
      <c r="E64" s="342"/>
      <c r="F64" s="344">
        <f>+F51</f>
        <v>46053</v>
      </c>
      <c r="G64" s="344">
        <f t="shared" ref="G64:AO64" si="155">+G51</f>
        <v>46054</v>
      </c>
      <c r="H64" s="344">
        <f t="shared" si="155"/>
        <v>46082</v>
      </c>
      <c r="I64" s="344">
        <f t="shared" si="155"/>
        <v>46113</v>
      </c>
      <c r="J64" s="344">
        <f t="shared" si="155"/>
        <v>46143</v>
      </c>
      <c r="K64" s="344">
        <f t="shared" si="155"/>
        <v>46174</v>
      </c>
      <c r="L64" s="344">
        <f t="shared" si="155"/>
        <v>46204</v>
      </c>
      <c r="M64" s="344">
        <f t="shared" si="155"/>
        <v>46235</v>
      </c>
      <c r="N64" s="344">
        <f t="shared" si="155"/>
        <v>46266</v>
      </c>
      <c r="O64" s="344">
        <f t="shared" si="155"/>
        <v>46296</v>
      </c>
      <c r="P64" s="344">
        <f t="shared" si="155"/>
        <v>46327</v>
      </c>
      <c r="Q64" s="344">
        <f t="shared" si="155"/>
        <v>46357</v>
      </c>
      <c r="R64" s="344">
        <f t="shared" si="155"/>
        <v>46388</v>
      </c>
      <c r="S64" s="344">
        <f t="shared" si="155"/>
        <v>46419</v>
      </c>
      <c r="T64" s="344">
        <f t="shared" si="155"/>
        <v>46447</v>
      </c>
      <c r="U64" s="344">
        <f t="shared" si="155"/>
        <v>46478</v>
      </c>
      <c r="V64" s="344">
        <f t="shared" si="155"/>
        <v>46508</v>
      </c>
      <c r="W64" s="344">
        <f t="shared" si="155"/>
        <v>46539</v>
      </c>
      <c r="X64" s="344">
        <f t="shared" si="155"/>
        <v>46569</v>
      </c>
      <c r="Y64" s="344">
        <f t="shared" si="155"/>
        <v>46600</v>
      </c>
      <c r="Z64" s="344">
        <f t="shared" si="155"/>
        <v>46631</v>
      </c>
      <c r="AA64" s="344">
        <f t="shared" si="155"/>
        <v>46661</v>
      </c>
      <c r="AB64" s="344">
        <f t="shared" si="155"/>
        <v>46692</v>
      </c>
      <c r="AC64" s="344">
        <f t="shared" si="155"/>
        <v>46722</v>
      </c>
      <c r="AD64" s="344">
        <f t="shared" si="155"/>
        <v>46753</v>
      </c>
      <c r="AE64" s="344">
        <f t="shared" si="155"/>
        <v>46784</v>
      </c>
      <c r="AF64" s="344">
        <f t="shared" si="155"/>
        <v>46813</v>
      </c>
      <c r="AG64" s="344">
        <f t="shared" si="155"/>
        <v>46844</v>
      </c>
      <c r="AH64" s="344">
        <f t="shared" si="155"/>
        <v>46874</v>
      </c>
      <c r="AI64" s="344">
        <f t="shared" si="155"/>
        <v>46905</v>
      </c>
      <c r="AJ64" s="344">
        <f t="shared" si="155"/>
        <v>46935</v>
      </c>
      <c r="AK64" s="344">
        <f t="shared" si="155"/>
        <v>46966</v>
      </c>
      <c r="AL64" s="344">
        <f t="shared" si="155"/>
        <v>46997</v>
      </c>
      <c r="AM64" s="344">
        <f t="shared" si="155"/>
        <v>47027</v>
      </c>
      <c r="AN64" s="344">
        <f t="shared" si="155"/>
        <v>47058</v>
      </c>
      <c r="AO64" s="344">
        <f t="shared" si="155"/>
        <v>47088</v>
      </c>
    </row>
    <row r="65" spans="1:41">
      <c r="B65" s="71"/>
      <c r="H65" s="128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spans="1:41">
      <c r="B66" s="130" t="s">
        <v>14</v>
      </c>
      <c r="F66" s="454">
        <f t="shared" ref="F66:Q66" si="156">F27-F53</f>
        <v>160</v>
      </c>
      <c r="G66" s="454">
        <f t="shared" si="156"/>
        <v>120</v>
      </c>
      <c r="H66" s="454">
        <f t="shared" si="156"/>
        <v>80</v>
      </c>
      <c r="I66" s="454">
        <f t="shared" si="156"/>
        <v>40</v>
      </c>
      <c r="J66" s="454">
        <f t="shared" si="156"/>
        <v>0</v>
      </c>
      <c r="K66" s="454">
        <f t="shared" si="156"/>
        <v>-40</v>
      </c>
      <c r="L66" s="454">
        <f t="shared" si="156"/>
        <v>-80</v>
      </c>
      <c r="M66" s="454">
        <f t="shared" si="156"/>
        <v>-120</v>
      </c>
      <c r="N66" s="454">
        <f t="shared" si="156"/>
        <v>-160</v>
      </c>
      <c r="O66" s="454">
        <f t="shared" si="156"/>
        <v>-200</v>
      </c>
      <c r="P66" s="454">
        <f t="shared" si="156"/>
        <v>-240</v>
      </c>
      <c r="Q66" s="454">
        <f t="shared" si="156"/>
        <v>-280</v>
      </c>
      <c r="R66" s="454">
        <f t="shared" ref="R66:AO66" si="157">R27-R53</f>
        <v>-280</v>
      </c>
      <c r="S66" s="454">
        <f t="shared" si="157"/>
        <v>-280</v>
      </c>
      <c r="T66" s="454">
        <f t="shared" si="157"/>
        <v>-280</v>
      </c>
      <c r="U66" s="454">
        <f t="shared" si="157"/>
        <v>-280</v>
      </c>
      <c r="V66" s="454">
        <f t="shared" si="157"/>
        <v>-280</v>
      </c>
      <c r="W66" s="454">
        <f t="shared" si="157"/>
        <v>-280</v>
      </c>
      <c r="X66" s="454">
        <f t="shared" si="157"/>
        <v>-280</v>
      </c>
      <c r="Y66" s="454">
        <f t="shared" si="157"/>
        <v>-280</v>
      </c>
      <c r="Z66" s="454">
        <f t="shared" si="157"/>
        <v>-280</v>
      </c>
      <c r="AA66" s="454">
        <f t="shared" si="157"/>
        <v>-280</v>
      </c>
      <c r="AB66" s="454">
        <f t="shared" si="157"/>
        <v>-280</v>
      </c>
      <c r="AC66" s="454">
        <f t="shared" si="157"/>
        <v>-280</v>
      </c>
      <c r="AD66" s="454">
        <f t="shared" si="157"/>
        <v>-280</v>
      </c>
      <c r="AE66" s="454">
        <f t="shared" si="157"/>
        <v>-280</v>
      </c>
      <c r="AF66" s="454">
        <f t="shared" si="157"/>
        <v>-280</v>
      </c>
      <c r="AG66" s="454">
        <f t="shared" si="157"/>
        <v>-280</v>
      </c>
      <c r="AH66" s="454">
        <f t="shared" si="157"/>
        <v>-280</v>
      </c>
      <c r="AI66" s="454">
        <f t="shared" si="157"/>
        <v>-280</v>
      </c>
      <c r="AJ66" s="454">
        <f t="shared" si="157"/>
        <v>-280</v>
      </c>
      <c r="AK66" s="454">
        <f t="shared" si="157"/>
        <v>-280</v>
      </c>
      <c r="AL66" s="454">
        <f t="shared" si="157"/>
        <v>-280</v>
      </c>
      <c r="AM66" s="454">
        <f t="shared" si="157"/>
        <v>-280</v>
      </c>
      <c r="AN66" s="454">
        <f t="shared" si="157"/>
        <v>-280</v>
      </c>
      <c r="AO66" s="454">
        <f t="shared" si="157"/>
        <v>-280</v>
      </c>
    </row>
    <row r="67" spans="1:41">
      <c r="B67" s="72" t="s">
        <v>75</v>
      </c>
      <c r="C67" s="72"/>
      <c r="D67" s="72"/>
      <c r="E67" s="72"/>
      <c r="F67" s="455">
        <f>F28 - F54</f>
        <v>196.66666666666666</v>
      </c>
      <c r="G67" s="455">
        <f>G28 - G54</f>
        <v>193.33333333333334</v>
      </c>
      <c r="H67" s="455">
        <f>H28 - H54</f>
        <v>190</v>
      </c>
      <c r="I67" s="455">
        <f>I28 - I54</f>
        <v>186.66666666666666</v>
      </c>
      <c r="J67" s="455">
        <f t="shared" ref="J67:P67" si="158">J28 - J54</f>
        <v>183.33333333333334</v>
      </c>
      <c r="K67" s="455">
        <f t="shared" si="158"/>
        <v>180</v>
      </c>
      <c r="L67" s="455">
        <f t="shared" si="158"/>
        <v>176.66666666666666</v>
      </c>
      <c r="M67" s="455">
        <f t="shared" si="158"/>
        <v>173.33333333333334</v>
      </c>
      <c r="N67" s="455">
        <f t="shared" si="158"/>
        <v>170</v>
      </c>
      <c r="O67" s="455">
        <f t="shared" si="158"/>
        <v>166.66666666666669</v>
      </c>
      <c r="P67" s="455">
        <f t="shared" si="158"/>
        <v>163.33333333333334</v>
      </c>
      <c r="Q67" s="455">
        <f>Q28 - Q54</f>
        <v>160</v>
      </c>
      <c r="R67" s="455">
        <f t="shared" ref="R67:AO67" si="159">R28 - R54</f>
        <v>156.66666666666666</v>
      </c>
      <c r="S67" s="455">
        <f t="shared" si="159"/>
        <v>153.33333333333331</v>
      </c>
      <c r="T67" s="455">
        <f t="shared" si="159"/>
        <v>150</v>
      </c>
      <c r="U67" s="455">
        <f t="shared" si="159"/>
        <v>146.66666666666666</v>
      </c>
      <c r="V67" s="455">
        <f t="shared" si="159"/>
        <v>143.33333333333331</v>
      </c>
      <c r="W67" s="455">
        <f t="shared" si="159"/>
        <v>140</v>
      </c>
      <c r="X67" s="455">
        <f t="shared" si="159"/>
        <v>136.66666666666666</v>
      </c>
      <c r="Y67" s="455">
        <f t="shared" si="159"/>
        <v>133.33333333333331</v>
      </c>
      <c r="Z67" s="455">
        <f t="shared" si="159"/>
        <v>130</v>
      </c>
      <c r="AA67" s="455">
        <f t="shared" si="159"/>
        <v>126.66666666666666</v>
      </c>
      <c r="AB67" s="455">
        <f t="shared" si="159"/>
        <v>123.33333333333333</v>
      </c>
      <c r="AC67" s="455">
        <f t="shared" si="159"/>
        <v>120</v>
      </c>
      <c r="AD67" s="455">
        <f t="shared" si="159"/>
        <v>116.66666666666667</v>
      </c>
      <c r="AE67" s="455">
        <f t="shared" si="159"/>
        <v>113.33333333333334</v>
      </c>
      <c r="AF67" s="455">
        <f t="shared" si="159"/>
        <v>110.00000000000001</v>
      </c>
      <c r="AG67" s="455">
        <f t="shared" si="159"/>
        <v>106.66666666666669</v>
      </c>
      <c r="AH67" s="455">
        <f t="shared" si="159"/>
        <v>103.33333333333336</v>
      </c>
      <c r="AI67" s="455">
        <f t="shared" si="159"/>
        <v>100.00000000000003</v>
      </c>
      <c r="AJ67" s="455">
        <f t="shared" si="159"/>
        <v>96.6666666666667</v>
      </c>
      <c r="AK67" s="455">
        <f t="shared" si="159"/>
        <v>93.333333333333371</v>
      </c>
      <c r="AL67" s="455">
        <f t="shared" si="159"/>
        <v>90.000000000000043</v>
      </c>
      <c r="AM67" s="455">
        <f t="shared" si="159"/>
        <v>86.666666666666714</v>
      </c>
      <c r="AN67" s="455">
        <f t="shared" si="159"/>
        <v>83.333333333333385</v>
      </c>
      <c r="AO67" s="455">
        <f t="shared" si="159"/>
        <v>80.000000000000057</v>
      </c>
    </row>
    <row r="68" spans="1:41">
      <c r="F68" s="73"/>
      <c r="G68" s="73"/>
      <c r="H68" s="73"/>
      <c r="I68" s="79"/>
      <c r="J68" s="79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spans="1:41">
      <c r="B69" s="130" t="s">
        <v>234</v>
      </c>
      <c r="F69" s="474">
        <f>F30 - F56</f>
        <v>344.16666666666669</v>
      </c>
      <c r="G69" s="474">
        <f t="shared" ref="G69:P69" si="160">G30 - G56</f>
        <v>338.33333333333331</v>
      </c>
      <c r="H69" s="474">
        <f>H30 - H56</f>
        <v>332.5</v>
      </c>
      <c r="I69" s="474">
        <f t="shared" si="160"/>
        <v>326.66666666666669</v>
      </c>
      <c r="J69" s="474">
        <f t="shared" si="160"/>
        <v>320.83333333333331</v>
      </c>
      <c r="K69" s="474">
        <f t="shared" si="160"/>
        <v>315</v>
      </c>
      <c r="L69" s="474">
        <f t="shared" si="160"/>
        <v>309.16666666666669</v>
      </c>
      <c r="M69" s="474">
        <f t="shared" si="160"/>
        <v>303.33333333333331</v>
      </c>
      <c r="N69" s="474">
        <f t="shared" si="160"/>
        <v>297.5</v>
      </c>
      <c r="O69" s="474">
        <f t="shared" si="160"/>
        <v>291.66666666666663</v>
      </c>
      <c r="P69" s="474">
        <f t="shared" si="160"/>
        <v>285.83333333333331</v>
      </c>
      <c r="Q69" s="474">
        <f>Q30 - Q56</f>
        <v>280</v>
      </c>
      <c r="R69" s="474">
        <f t="shared" ref="R69:AO69" si="161">R30 - R56</f>
        <v>274.16666666666669</v>
      </c>
      <c r="S69" s="474">
        <f t="shared" si="161"/>
        <v>268.33333333333337</v>
      </c>
      <c r="T69" s="474">
        <f t="shared" si="161"/>
        <v>262.5</v>
      </c>
      <c r="U69" s="474">
        <f t="shared" si="161"/>
        <v>256.66666666666669</v>
      </c>
      <c r="V69" s="474">
        <f t="shared" si="161"/>
        <v>250.83333333333337</v>
      </c>
      <c r="W69" s="474">
        <f t="shared" si="161"/>
        <v>245.00000000000003</v>
      </c>
      <c r="X69" s="474">
        <f t="shared" si="161"/>
        <v>239.16666666666669</v>
      </c>
      <c r="Y69" s="474">
        <f t="shared" si="161"/>
        <v>233.33333333333337</v>
      </c>
      <c r="Z69" s="474">
        <f t="shared" si="161"/>
        <v>227.50000000000006</v>
      </c>
      <c r="AA69" s="474">
        <f t="shared" si="161"/>
        <v>221.66666666666671</v>
      </c>
      <c r="AB69" s="474">
        <f t="shared" si="161"/>
        <v>215.83333333333337</v>
      </c>
      <c r="AC69" s="474">
        <f t="shared" si="161"/>
        <v>210.00000000000003</v>
      </c>
      <c r="AD69" s="474">
        <f t="shared" si="161"/>
        <v>204.16666666666669</v>
      </c>
      <c r="AE69" s="474">
        <f t="shared" si="161"/>
        <v>198.33333333333334</v>
      </c>
      <c r="AF69" s="474">
        <f t="shared" si="161"/>
        <v>192.5</v>
      </c>
      <c r="AG69" s="474">
        <f t="shared" si="161"/>
        <v>186.66666666666666</v>
      </c>
      <c r="AH69" s="474">
        <f t="shared" si="161"/>
        <v>180.83333333333331</v>
      </c>
      <c r="AI69" s="474">
        <f t="shared" si="161"/>
        <v>174.99999999999997</v>
      </c>
      <c r="AJ69" s="474">
        <f t="shared" si="161"/>
        <v>169.16666666666663</v>
      </c>
      <c r="AK69" s="474">
        <f t="shared" si="161"/>
        <v>163.33333333333329</v>
      </c>
      <c r="AL69" s="474">
        <f t="shared" si="161"/>
        <v>157.49999999999994</v>
      </c>
      <c r="AM69" s="474">
        <f t="shared" si="161"/>
        <v>151.6666666666666</v>
      </c>
      <c r="AN69" s="474">
        <f t="shared" si="161"/>
        <v>145.83333333333326</v>
      </c>
      <c r="AO69" s="474">
        <f t="shared" si="161"/>
        <v>139.99999999999991</v>
      </c>
    </row>
    <row r="70" spans="1:41">
      <c r="B70" s="130" t="s">
        <v>235</v>
      </c>
      <c r="F70" s="474">
        <f t="shared" ref="F70:P71" si="162">F31 - F57</f>
        <v>98.333333333333329</v>
      </c>
      <c r="G70" s="474">
        <f t="shared" si="162"/>
        <v>96.666666666666671</v>
      </c>
      <c r="H70" s="474">
        <f t="shared" si="162"/>
        <v>95</v>
      </c>
      <c r="I70" s="474">
        <f t="shared" si="162"/>
        <v>93.333333333333329</v>
      </c>
      <c r="J70" s="474">
        <f t="shared" si="162"/>
        <v>91.666666666666671</v>
      </c>
      <c r="K70" s="474">
        <f t="shared" si="162"/>
        <v>90</v>
      </c>
      <c r="L70" s="474">
        <f t="shared" si="162"/>
        <v>88.333333333333329</v>
      </c>
      <c r="M70" s="474">
        <f t="shared" si="162"/>
        <v>86.666666666666671</v>
      </c>
      <c r="N70" s="474">
        <f t="shared" si="162"/>
        <v>85</v>
      </c>
      <c r="O70" s="474">
        <f t="shared" si="162"/>
        <v>83.333333333333343</v>
      </c>
      <c r="P70" s="474">
        <f t="shared" si="162"/>
        <v>81.666666666666671</v>
      </c>
      <c r="Q70" s="474">
        <f>Q31 - Q57</f>
        <v>80</v>
      </c>
      <c r="R70" s="474">
        <f t="shared" ref="R70:AO70" si="163">R31 - R57</f>
        <v>78.333333333333329</v>
      </c>
      <c r="S70" s="474">
        <f t="shared" si="163"/>
        <v>76.666666666666657</v>
      </c>
      <c r="T70" s="474">
        <f t="shared" si="163"/>
        <v>75</v>
      </c>
      <c r="U70" s="474">
        <f t="shared" si="163"/>
        <v>73.333333333333329</v>
      </c>
      <c r="V70" s="474">
        <f t="shared" si="163"/>
        <v>71.666666666666657</v>
      </c>
      <c r="W70" s="474">
        <f t="shared" si="163"/>
        <v>70</v>
      </c>
      <c r="X70" s="474">
        <f t="shared" si="163"/>
        <v>68.333333333333329</v>
      </c>
      <c r="Y70" s="474">
        <f t="shared" si="163"/>
        <v>66.666666666666657</v>
      </c>
      <c r="Z70" s="474">
        <f t="shared" si="163"/>
        <v>65</v>
      </c>
      <c r="AA70" s="474">
        <f t="shared" si="163"/>
        <v>63.333333333333329</v>
      </c>
      <c r="AB70" s="474">
        <f t="shared" si="163"/>
        <v>61.666666666666664</v>
      </c>
      <c r="AC70" s="474">
        <f t="shared" si="163"/>
        <v>60</v>
      </c>
      <c r="AD70" s="474">
        <f t="shared" si="163"/>
        <v>58.333333333333336</v>
      </c>
      <c r="AE70" s="474">
        <f t="shared" si="163"/>
        <v>56.666666666666671</v>
      </c>
      <c r="AF70" s="474">
        <f t="shared" si="163"/>
        <v>55.000000000000007</v>
      </c>
      <c r="AG70" s="474">
        <f t="shared" si="163"/>
        <v>53.333333333333343</v>
      </c>
      <c r="AH70" s="474">
        <f t="shared" si="163"/>
        <v>51.666666666666679</v>
      </c>
      <c r="AI70" s="474">
        <f t="shared" si="163"/>
        <v>50.000000000000014</v>
      </c>
      <c r="AJ70" s="474">
        <f t="shared" si="163"/>
        <v>48.33333333333335</v>
      </c>
      <c r="AK70" s="474">
        <f t="shared" si="163"/>
        <v>46.666666666666686</v>
      </c>
      <c r="AL70" s="474">
        <f t="shared" si="163"/>
        <v>45.000000000000021</v>
      </c>
      <c r="AM70" s="474">
        <f t="shared" si="163"/>
        <v>43.333333333333357</v>
      </c>
      <c r="AN70" s="474">
        <f t="shared" si="163"/>
        <v>41.666666666666693</v>
      </c>
      <c r="AO70" s="474">
        <f t="shared" si="163"/>
        <v>40.000000000000028</v>
      </c>
    </row>
    <row r="71" spans="1:41">
      <c r="B71" s="130" t="s">
        <v>236</v>
      </c>
      <c r="F71" s="474">
        <f t="shared" si="162"/>
        <v>118</v>
      </c>
      <c r="G71" s="474">
        <f t="shared" si="162"/>
        <v>116</v>
      </c>
      <c r="H71" s="474">
        <f t="shared" si="162"/>
        <v>114</v>
      </c>
      <c r="I71" s="474">
        <f t="shared" si="162"/>
        <v>112</v>
      </c>
      <c r="J71" s="474">
        <f t="shared" si="162"/>
        <v>110</v>
      </c>
      <c r="K71" s="474">
        <f t="shared" si="162"/>
        <v>108</v>
      </c>
      <c r="L71" s="474">
        <f t="shared" si="162"/>
        <v>106</v>
      </c>
      <c r="M71" s="474">
        <f t="shared" si="162"/>
        <v>104</v>
      </c>
      <c r="N71" s="474">
        <f t="shared" si="162"/>
        <v>102</v>
      </c>
      <c r="O71" s="474">
        <f t="shared" si="162"/>
        <v>100</v>
      </c>
      <c r="P71" s="474">
        <f t="shared" si="162"/>
        <v>98</v>
      </c>
      <c r="Q71" s="474">
        <f>Q32 - Q58</f>
        <v>96</v>
      </c>
      <c r="R71" s="474">
        <f t="shared" ref="R71:AO71" si="164">R32 - R58</f>
        <v>94</v>
      </c>
      <c r="S71" s="474">
        <f t="shared" si="164"/>
        <v>92</v>
      </c>
      <c r="T71" s="474">
        <f t="shared" si="164"/>
        <v>90</v>
      </c>
      <c r="U71" s="474">
        <f t="shared" si="164"/>
        <v>88</v>
      </c>
      <c r="V71" s="474">
        <f t="shared" si="164"/>
        <v>86</v>
      </c>
      <c r="W71" s="474">
        <f t="shared" si="164"/>
        <v>84</v>
      </c>
      <c r="X71" s="474">
        <f t="shared" si="164"/>
        <v>82</v>
      </c>
      <c r="Y71" s="474">
        <f t="shared" si="164"/>
        <v>80</v>
      </c>
      <c r="Z71" s="474">
        <f t="shared" si="164"/>
        <v>78</v>
      </c>
      <c r="AA71" s="474">
        <f t="shared" si="164"/>
        <v>76</v>
      </c>
      <c r="AB71" s="474">
        <f t="shared" si="164"/>
        <v>74</v>
      </c>
      <c r="AC71" s="474">
        <f t="shared" si="164"/>
        <v>72</v>
      </c>
      <c r="AD71" s="474">
        <f t="shared" si="164"/>
        <v>70</v>
      </c>
      <c r="AE71" s="474">
        <f t="shared" si="164"/>
        <v>68</v>
      </c>
      <c r="AF71" s="474">
        <f t="shared" si="164"/>
        <v>66</v>
      </c>
      <c r="AG71" s="474">
        <f t="shared" si="164"/>
        <v>64</v>
      </c>
      <c r="AH71" s="474">
        <f t="shared" si="164"/>
        <v>62</v>
      </c>
      <c r="AI71" s="474">
        <f t="shared" si="164"/>
        <v>60</v>
      </c>
      <c r="AJ71" s="474">
        <f t="shared" si="164"/>
        <v>58</v>
      </c>
      <c r="AK71" s="474">
        <f t="shared" si="164"/>
        <v>56</v>
      </c>
      <c r="AL71" s="474">
        <f t="shared" si="164"/>
        <v>54</v>
      </c>
      <c r="AM71" s="474">
        <f t="shared" si="164"/>
        <v>52</v>
      </c>
      <c r="AN71" s="474">
        <f t="shared" si="164"/>
        <v>50</v>
      </c>
      <c r="AO71" s="474">
        <f t="shared" si="164"/>
        <v>48</v>
      </c>
    </row>
    <row r="72" spans="1:41">
      <c r="B72" s="72" t="s">
        <v>76</v>
      </c>
      <c r="C72" s="72"/>
      <c r="D72" s="72"/>
      <c r="E72" s="72"/>
      <c r="F72" s="455">
        <f>SUM(F69:F71)</f>
        <v>560.5</v>
      </c>
      <c r="G72" s="455">
        <f>SUM(G69:G71)</f>
        <v>551</v>
      </c>
      <c r="H72" s="455">
        <f>SUM(H69:H71)</f>
        <v>541.5</v>
      </c>
      <c r="I72" s="455">
        <f>SUM(I69:I71)</f>
        <v>532</v>
      </c>
      <c r="J72" s="455">
        <f>SUM(J69:J71)</f>
        <v>522.5</v>
      </c>
      <c r="K72" s="455">
        <f t="shared" ref="K72:P72" si="165">SUM(K69:K71)</f>
        <v>513</v>
      </c>
      <c r="L72" s="455">
        <f t="shared" si="165"/>
        <v>503.5</v>
      </c>
      <c r="M72" s="455">
        <f t="shared" si="165"/>
        <v>494</v>
      </c>
      <c r="N72" s="455">
        <f t="shared" si="165"/>
        <v>484.5</v>
      </c>
      <c r="O72" s="455">
        <f t="shared" si="165"/>
        <v>475</v>
      </c>
      <c r="P72" s="455">
        <f t="shared" si="165"/>
        <v>465.5</v>
      </c>
      <c r="Q72" s="455">
        <f>SUM(Q69:Q71)</f>
        <v>456</v>
      </c>
      <c r="R72" s="455">
        <f t="shared" ref="R72:AO72" si="166">SUM(R69:R71)</f>
        <v>446.5</v>
      </c>
      <c r="S72" s="455">
        <f t="shared" si="166"/>
        <v>437</v>
      </c>
      <c r="T72" s="455">
        <f t="shared" si="166"/>
        <v>427.5</v>
      </c>
      <c r="U72" s="455">
        <f t="shared" si="166"/>
        <v>418</v>
      </c>
      <c r="V72" s="455">
        <f t="shared" si="166"/>
        <v>408.5</v>
      </c>
      <c r="W72" s="455">
        <f t="shared" si="166"/>
        <v>399</v>
      </c>
      <c r="X72" s="455">
        <f t="shared" si="166"/>
        <v>389.5</v>
      </c>
      <c r="Y72" s="455">
        <f t="shared" si="166"/>
        <v>380</v>
      </c>
      <c r="Z72" s="455">
        <f t="shared" si="166"/>
        <v>370.50000000000006</v>
      </c>
      <c r="AA72" s="455">
        <f t="shared" si="166"/>
        <v>361.00000000000006</v>
      </c>
      <c r="AB72" s="455">
        <f t="shared" si="166"/>
        <v>351.50000000000006</v>
      </c>
      <c r="AC72" s="455">
        <f t="shared" si="166"/>
        <v>342</v>
      </c>
      <c r="AD72" s="455">
        <f t="shared" si="166"/>
        <v>332.5</v>
      </c>
      <c r="AE72" s="455">
        <f t="shared" si="166"/>
        <v>323</v>
      </c>
      <c r="AF72" s="455">
        <f t="shared" si="166"/>
        <v>313.5</v>
      </c>
      <c r="AG72" s="455">
        <f t="shared" si="166"/>
        <v>304</v>
      </c>
      <c r="AH72" s="455">
        <f t="shared" si="166"/>
        <v>294.5</v>
      </c>
      <c r="AI72" s="455">
        <f t="shared" si="166"/>
        <v>285</v>
      </c>
      <c r="AJ72" s="455">
        <f t="shared" si="166"/>
        <v>275.5</v>
      </c>
      <c r="AK72" s="455">
        <f t="shared" si="166"/>
        <v>266</v>
      </c>
      <c r="AL72" s="455">
        <f t="shared" si="166"/>
        <v>256.5</v>
      </c>
      <c r="AM72" s="455">
        <f t="shared" si="166"/>
        <v>246.99999999999994</v>
      </c>
      <c r="AN72" s="455">
        <f t="shared" si="166"/>
        <v>237.49999999999994</v>
      </c>
      <c r="AO72" s="455">
        <f t="shared" si="166"/>
        <v>227.99999999999994</v>
      </c>
    </row>
    <row r="74" spans="1:41">
      <c r="B74" s="301" t="s">
        <v>77</v>
      </c>
      <c r="C74" s="301"/>
      <c r="D74" s="301"/>
      <c r="E74" s="301"/>
      <c r="F74" s="331">
        <f>+F72+F67</f>
        <v>757.16666666666663</v>
      </c>
      <c r="G74" s="331">
        <f>+G72+G67</f>
        <v>744.33333333333337</v>
      </c>
      <c r="H74" s="331">
        <f t="shared" ref="H74:P74" si="167">+H72+H67</f>
        <v>731.5</v>
      </c>
      <c r="I74" s="331">
        <f t="shared" si="167"/>
        <v>718.66666666666663</v>
      </c>
      <c r="J74" s="331">
        <f t="shared" si="167"/>
        <v>705.83333333333337</v>
      </c>
      <c r="K74" s="331">
        <f t="shared" si="167"/>
        <v>693</v>
      </c>
      <c r="L74" s="331">
        <f t="shared" si="167"/>
        <v>680.16666666666663</v>
      </c>
      <c r="M74" s="331">
        <f t="shared" si="167"/>
        <v>667.33333333333337</v>
      </c>
      <c r="N74" s="331">
        <f t="shared" si="167"/>
        <v>654.5</v>
      </c>
      <c r="O74" s="331">
        <f t="shared" si="167"/>
        <v>641.66666666666674</v>
      </c>
      <c r="P74" s="331">
        <f t="shared" si="167"/>
        <v>628.83333333333337</v>
      </c>
      <c r="Q74" s="331">
        <f>+Q72+Q67</f>
        <v>616</v>
      </c>
      <c r="R74" s="331">
        <f t="shared" ref="R74:AO74" si="168">+R72+R67</f>
        <v>603.16666666666663</v>
      </c>
      <c r="S74" s="331">
        <f t="shared" si="168"/>
        <v>590.33333333333326</v>
      </c>
      <c r="T74" s="331">
        <f t="shared" si="168"/>
        <v>577.5</v>
      </c>
      <c r="U74" s="331">
        <f t="shared" si="168"/>
        <v>564.66666666666663</v>
      </c>
      <c r="V74" s="331">
        <f t="shared" si="168"/>
        <v>551.83333333333326</v>
      </c>
      <c r="W74" s="331">
        <f t="shared" si="168"/>
        <v>539</v>
      </c>
      <c r="X74" s="331">
        <f t="shared" si="168"/>
        <v>526.16666666666663</v>
      </c>
      <c r="Y74" s="331">
        <f t="shared" si="168"/>
        <v>513.33333333333326</v>
      </c>
      <c r="Z74" s="331">
        <f t="shared" si="168"/>
        <v>500.50000000000006</v>
      </c>
      <c r="AA74" s="331">
        <f t="shared" si="168"/>
        <v>487.66666666666674</v>
      </c>
      <c r="AB74" s="331">
        <f t="shared" si="168"/>
        <v>474.83333333333337</v>
      </c>
      <c r="AC74" s="331">
        <f t="shared" si="168"/>
        <v>462</v>
      </c>
      <c r="AD74" s="331">
        <f t="shared" si="168"/>
        <v>449.16666666666669</v>
      </c>
      <c r="AE74" s="331">
        <f t="shared" si="168"/>
        <v>436.33333333333337</v>
      </c>
      <c r="AF74" s="331">
        <f t="shared" si="168"/>
        <v>423.5</v>
      </c>
      <c r="AG74" s="331">
        <f t="shared" si="168"/>
        <v>410.66666666666669</v>
      </c>
      <c r="AH74" s="331">
        <f t="shared" si="168"/>
        <v>397.83333333333337</v>
      </c>
      <c r="AI74" s="331">
        <f t="shared" si="168"/>
        <v>385</v>
      </c>
      <c r="AJ74" s="331">
        <f t="shared" si="168"/>
        <v>372.16666666666669</v>
      </c>
      <c r="AK74" s="331">
        <f t="shared" si="168"/>
        <v>359.33333333333337</v>
      </c>
      <c r="AL74" s="331">
        <f t="shared" si="168"/>
        <v>346.50000000000006</v>
      </c>
      <c r="AM74" s="331">
        <f t="shared" si="168"/>
        <v>333.66666666666663</v>
      </c>
      <c r="AN74" s="331">
        <f t="shared" si="168"/>
        <v>320.83333333333331</v>
      </c>
      <c r="AO74" s="331">
        <f t="shared" si="168"/>
        <v>308</v>
      </c>
    </row>
    <row r="75" spans="1:41">
      <c r="B75" s="7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</row>
    <row r="76" spans="1:41">
      <c r="B76" s="7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</row>
    <row r="77" spans="1:41">
      <c r="B77" s="7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</row>
    <row r="79" spans="1:41" s="39" customFormat="1">
      <c r="A79" s="167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</row>
    <row r="80" spans="1:41">
      <c r="B80" s="68"/>
      <c r="C80" s="111"/>
      <c r="D80" s="111"/>
      <c r="E80" s="111"/>
    </row>
    <row r="81" spans="2:5">
      <c r="B81" s="68"/>
      <c r="C81" s="111"/>
      <c r="D81" s="111"/>
      <c r="E81" s="111"/>
    </row>
    <row r="82" spans="2:5">
      <c r="B82" s="68"/>
      <c r="C82" s="111"/>
      <c r="D82" s="111"/>
      <c r="E82" s="111"/>
    </row>
    <row r="83" spans="2:5">
      <c r="B83" s="68"/>
      <c r="C83" s="111"/>
      <c r="D83" s="111"/>
      <c r="E83" s="111"/>
    </row>
    <row r="84" spans="2:5">
      <c r="B84" s="68"/>
      <c r="C84" s="111"/>
      <c r="D84" s="111"/>
      <c r="E84" s="111"/>
    </row>
    <row r="85" spans="2:5">
      <c r="B85" s="68"/>
      <c r="C85" s="111"/>
      <c r="D85" s="111"/>
      <c r="E85" s="111"/>
    </row>
    <row r="86" spans="2:5">
      <c r="B86" s="68"/>
      <c r="C86" s="111"/>
      <c r="D86" s="111"/>
      <c r="E86" s="111"/>
    </row>
    <row r="87" spans="2:5">
      <c r="B87" s="68"/>
      <c r="C87" s="111"/>
      <c r="D87" s="111"/>
      <c r="E87" s="111"/>
    </row>
    <row r="88" spans="2:5">
      <c r="B88" s="68"/>
      <c r="C88" s="111"/>
      <c r="D88" s="111"/>
      <c r="E88" s="111"/>
    </row>
    <row r="89" spans="2:5">
      <c r="B89" s="68"/>
      <c r="C89" s="111"/>
      <c r="D89" s="111"/>
      <c r="E89" s="111"/>
    </row>
    <row r="90" spans="2:5">
      <c r="B90" s="68"/>
      <c r="C90" s="111"/>
      <c r="D90" s="111"/>
      <c r="E90" s="111"/>
    </row>
    <row r="91" spans="2:5">
      <c r="B91" s="68"/>
      <c r="C91" s="111"/>
      <c r="D91" s="111"/>
      <c r="E91" s="111"/>
    </row>
    <row r="92" spans="2:5">
      <c r="B92" s="68"/>
      <c r="C92" s="111"/>
      <c r="D92" s="111"/>
      <c r="E92" s="111"/>
    </row>
    <row r="93" spans="2:5">
      <c r="B93" s="68"/>
      <c r="C93" s="111"/>
      <c r="D93" s="111"/>
      <c r="E93" s="111"/>
    </row>
    <row r="94" spans="2:5">
      <c r="B94" s="68"/>
      <c r="C94" s="111"/>
      <c r="D94" s="111"/>
      <c r="E94" s="111"/>
    </row>
    <row r="95" spans="2:5">
      <c r="B95" s="68"/>
      <c r="C95" s="111"/>
      <c r="D95" s="111"/>
      <c r="E95" s="111"/>
    </row>
    <row r="96" spans="2:5">
      <c r="B96" s="68"/>
      <c r="C96" s="111"/>
      <c r="D96" s="111"/>
      <c r="E96" s="111"/>
    </row>
    <row r="97" spans="2:5">
      <c r="B97" s="68"/>
      <c r="C97" s="111"/>
      <c r="D97" s="111"/>
      <c r="E97" s="111"/>
    </row>
    <row r="98" spans="2:5">
      <c r="B98" s="68"/>
      <c r="C98" s="111"/>
      <c r="D98" s="111"/>
      <c r="E98" s="111"/>
    </row>
    <row r="99" spans="2:5">
      <c r="B99" s="68"/>
      <c r="C99" s="111"/>
      <c r="D99" s="111"/>
      <c r="E99" s="111"/>
    </row>
    <row r="100" spans="2:5">
      <c r="B100" s="68"/>
      <c r="C100" s="111"/>
      <c r="D100" s="111"/>
      <c r="E100" s="111"/>
    </row>
    <row r="101" spans="2:5">
      <c r="B101" s="68"/>
      <c r="C101" s="111"/>
      <c r="D101" s="111"/>
      <c r="E101" s="111"/>
    </row>
    <row r="102" spans="2:5">
      <c r="B102" s="68"/>
      <c r="C102" s="111"/>
      <c r="D102" s="111"/>
      <c r="E102" s="111"/>
    </row>
    <row r="103" spans="2:5">
      <c r="B103" s="68"/>
      <c r="C103" s="111"/>
      <c r="D103" s="111"/>
      <c r="E103" s="111"/>
    </row>
    <row r="104" spans="2:5">
      <c r="B104" s="68"/>
      <c r="C104" s="111"/>
      <c r="D104" s="111"/>
      <c r="E104" s="111"/>
    </row>
    <row r="105" spans="2:5">
      <c r="B105" s="68"/>
      <c r="C105" s="111"/>
      <c r="D105" s="111"/>
      <c r="E105" s="111"/>
    </row>
    <row r="106" spans="2:5">
      <c r="B106" s="68"/>
      <c r="C106" s="111"/>
      <c r="D106" s="111"/>
      <c r="E106" s="111"/>
    </row>
    <row r="107" spans="2:5">
      <c r="B107" s="68"/>
      <c r="C107" s="111"/>
      <c r="D107" s="111"/>
      <c r="E107" s="111"/>
    </row>
    <row r="108" spans="2:5">
      <c r="B108" s="68"/>
      <c r="C108" s="111"/>
      <c r="D108" s="111"/>
      <c r="E108" s="111"/>
    </row>
    <row r="109" spans="2:5">
      <c r="B109" s="68"/>
      <c r="C109" s="111"/>
      <c r="D109" s="111"/>
      <c r="E109" s="111"/>
    </row>
    <row r="110" spans="2:5">
      <c r="B110" s="68"/>
      <c r="C110" s="111"/>
      <c r="D110" s="111"/>
      <c r="E110" s="111"/>
    </row>
    <row r="111" spans="2:5">
      <c r="B111" s="68"/>
      <c r="C111" s="111"/>
      <c r="D111" s="111"/>
      <c r="E111" s="111"/>
    </row>
    <row r="112" spans="2:5">
      <c r="B112" s="68"/>
      <c r="C112" s="111"/>
      <c r="D112" s="111"/>
      <c r="E112" s="111"/>
    </row>
    <row r="113" spans="1:41">
      <c r="B113" s="68"/>
      <c r="C113" s="111"/>
      <c r="D113" s="111"/>
      <c r="E113" s="111"/>
    </row>
    <row r="114" spans="1:41">
      <c r="B114" s="68"/>
      <c r="C114" s="111"/>
      <c r="D114" s="111"/>
      <c r="E114" s="111"/>
    </row>
    <row r="117" spans="1:41" s="12" customFormat="1">
      <c r="A117" s="101">
        <v>2</v>
      </c>
      <c r="B117" s="94" t="s">
        <v>38</v>
      </c>
      <c r="C117" s="96"/>
      <c r="D117" s="96"/>
      <c r="E117" s="96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</row>
    <row r="120" spans="1:41" ht="16" thickBot="1">
      <c r="B120" s="168" t="s">
        <v>23</v>
      </c>
      <c r="C120" s="169"/>
      <c r="D120" s="170"/>
      <c r="E120" s="170"/>
    </row>
    <row r="122" spans="1:41">
      <c r="B122" s="171" t="s">
        <v>39</v>
      </c>
      <c r="C122" s="172"/>
      <c r="D122" s="172"/>
      <c r="E122" s="172"/>
    </row>
    <row r="124" spans="1:41">
      <c r="B124" s="68" t="s">
        <v>40</v>
      </c>
    </row>
    <row r="125" spans="1:41">
      <c r="B125" s="68" t="s">
        <v>41</v>
      </c>
    </row>
    <row r="126" spans="1:41">
      <c r="B126" s="68" t="s">
        <v>43</v>
      </c>
    </row>
    <row r="127" spans="1:41">
      <c r="B127" s="68" t="s">
        <v>44</v>
      </c>
    </row>
    <row r="128" spans="1:41">
      <c r="B128" s="68" t="s">
        <v>45</v>
      </c>
    </row>
    <row r="129" spans="2:5">
      <c r="B129" s="68" t="s">
        <v>46</v>
      </c>
    </row>
    <row r="130" spans="2:5">
      <c r="B130" s="68"/>
    </row>
    <row r="131" spans="2:5">
      <c r="B131" s="68"/>
    </row>
    <row r="132" spans="2:5">
      <c r="B132" s="68"/>
    </row>
    <row r="133" spans="2:5">
      <c r="B133" s="68"/>
    </row>
    <row r="134" spans="2:5">
      <c r="B134" s="171" t="s">
        <v>47</v>
      </c>
      <c r="C134" s="172"/>
      <c r="D134" s="172"/>
      <c r="E134" s="172"/>
    </row>
    <row r="135" spans="2:5">
      <c r="B135" s="68"/>
    </row>
    <row r="136" spans="2:5">
      <c r="B136" s="68" t="s">
        <v>48</v>
      </c>
    </row>
    <row r="137" spans="2:5">
      <c r="B137" s="68" t="s">
        <v>49</v>
      </c>
    </row>
    <row r="138" spans="2:5">
      <c r="B138" s="68" t="s">
        <v>50</v>
      </c>
    </row>
    <row r="139" spans="2:5">
      <c r="B139" s="68" t="s">
        <v>51</v>
      </c>
    </row>
    <row r="140" spans="2:5">
      <c r="B140" s="68"/>
    </row>
    <row r="141" spans="2:5">
      <c r="B141" s="68"/>
    </row>
    <row r="142" spans="2:5">
      <c r="B142" s="171" t="s">
        <v>52</v>
      </c>
      <c r="C142" s="172"/>
      <c r="D142" s="172"/>
      <c r="E142" s="172"/>
    </row>
    <row r="143" spans="2:5">
      <c r="B143" s="68"/>
    </row>
    <row r="144" spans="2:5">
      <c r="B144" s="68" t="s">
        <v>53</v>
      </c>
    </row>
    <row r="145" spans="2:5">
      <c r="B145" s="68" t="s">
        <v>54</v>
      </c>
    </row>
    <row r="146" spans="2:5">
      <c r="B146" s="68" t="s">
        <v>55</v>
      </c>
    </row>
    <row r="147" spans="2:5">
      <c r="B147" s="68" t="s">
        <v>56</v>
      </c>
    </row>
    <row r="148" spans="2:5">
      <c r="B148" s="68" t="s">
        <v>66</v>
      </c>
    </row>
    <row r="151" spans="2:5">
      <c r="B151" s="171" t="s">
        <v>57</v>
      </c>
      <c r="C151" s="172"/>
      <c r="D151" s="172"/>
      <c r="E151" s="172"/>
    </row>
    <row r="152" spans="2:5">
      <c r="B152" s="68"/>
    </row>
    <row r="153" spans="2:5">
      <c r="B153" s="68" t="s">
        <v>53</v>
      </c>
    </row>
    <row r="154" spans="2:5">
      <c r="B154" s="68" t="s">
        <v>54</v>
      </c>
    </row>
    <row r="155" spans="2:5">
      <c r="B155" s="68" t="s">
        <v>55</v>
      </c>
    </row>
    <row r="156" spans="2:5">
      <c r="B156" s="68" t="s">
        <v>56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/>
  </sheetPr>
  <dimension ref="A1:AO23"/>
  <sheetViews>
    <sheetView showGridLines="0" workbookViewId="0">
      <pane xSplit="5" topLeftCell="F1" activePane="topRight" state="frozen"/>
      <selection pane="topRight" activeCell="D26" sqref="D26"/>
    </sheetView>
  </sheetViews>
  <sheetFormatPr baseColWidth="10" defaultColWidth="8.83203125" defaultRowHeight="14"/>
  <cols>
    <col min="1" max="1" width="1.83203125" style="21" customWidth="1"/>
    <col min="2" max="2" width="38.33203125" style="16" customWidth="1"/>
    <col min="3" max="3" width="9.5" style="21" customWidth="1"/>
    <col min="4" max="4" width="25.5" style="16" customWidth="1"/>
    <col min="5" max="5" width="18.5" style="16" bestFit="1" customWidth="1"/>
    <col min="6" max="9" width="10" style="16" customWidth="1"/>
    <col min="10" max="16384" width="8.83203125" style="16"/>
  </cols>
  <sheetData>
    <row r="1" spans="1:41" s="323" customFormat="1" ht="16">
      <c r="A1" s="297" t="s">
        <v>494</v>
      </c>
      <c r="B1" s="298"/>
      <c r="C1" s="299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</row>
    <row r="2" spans="1:41" s="11" customFormat="1" ht="15">
      <c r="A2" s="65"/>
      <c r="B2" s="56"/>
      <c r="C2" s="113"/>
      <c r="D2" s="59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</row>
    <row r="3" spans="1:41" s="11" customFormat="1" ht="15">
      <c r="A3" s="65"/>
      <c r="B3" s="179" t="s">
        <v>534</v>
      </c>
      <c r="C3" s="113"/>
      <c r="D3" s="59"/>
      <c r="E3" s="56"/>
      <c r="F3" s="163">
        <f>'Revenue &amp; COGS Building'!O12</f>
        <v>46053</v>
      </c>
      <c r="G3" s="163">
        <f>'Revenue &amp; COGS Building'!P12</f>
        <v>46054</v>
      </c>
      <c r="H3" s="163">
        <f>'Revenue &amp; COGS Building'!Q12</f>
        <v>46082</v>
      </c>
      <c r="I3" s="163">
        <f>'Revenue &amp; COGS Building'!R12</f>
        <v>46113</v>
      </c>
      <c r="J3" s="163">
        <f>'Revenue &amp; COGS Building'!S12</f>
        <v>46143</v>
      </c>
      <c r="K3" s="163">
        <f>'Revenue &amp; COGS Building'!T12</f>
        <v>46174</v>
      </c>
      <c r="L3" s="163">
        <f>'Revenue &amp; COGS Building'!U12</f>
        <v>46204</v>
      </c>
      <c r="M3" s="163">
        <f>'Revenue &amp; COGS Building'!V12</f>
        <v>46235</v>
      </c>
      <c r="N3" s="163">
        <f>'Revenue &amp; COGS Building'!W12</f>
        <v>46266</v>
      </c>
      <c r="O3" s="163">
        <f>'Revenue &amp; COGS Building'!X12</f>
        <v>46296</v>
      </c>
      <c r="P3" s="163">
        <f>'Revenue &amp; COGS Building'!Y12</f>
        <v>46327</v>
      </c>
      <c r="Q3" s="163">
        <f>'Revenue &amp; COGS Building'!Z12</f>
        <v>46357</v>
      </c>
      <c r="R3" s="163">
        <f>'Revenue &amp; COGS Building'!AA12</f>
        <v>46388</v>
      </c>
      <c r="S3" s="163">
        <f>'Revenue &amp; COGS Building'!AB12</f>
        <v>46419</v>
      </c>
      <c r="T3" s="163">
        <f>'Revenue &amp; COGS Building'!AC12</f>
        <v>46447</v>
      </c>
      <c r="U3" s="163">
        <f>'Revenue &amp; COGS Building'!AD12</f>
        <v>46478</v>
      </c>
      <c r="V3" s="163">
        <f>'Revenue &amp; COGS Building'!AE12</f>
        <v>46508</v>
      </c>
      <c r="W3" s="163">
        <f>'Revenue &amp; COGS Building'!AF12</f>
        <v>46539</v>
      </c>
      <c r="X3" s="163">
        <f>'Revenue &amp; COGS Building'!AG12</f>
        <v>46569</v>
      </c>
      <c r="Y3" s="163">
        <f>'Revenue &amp; COGS Building'!AH12</f>
        <v>46600</v>
      </c>
      <c r="Z3" s="163">
        <f>'Revenue &amp; COGS Building'!AI12</f>
        <v>46631</v>
      </c>
      <c r="AA3" s="163">
        <f>'Revenue &amp; COGS Building'!AJ12</f>
        <v>46661</v>
      </c>
      <c r="AB3" s="163">
        <f>'Revenue &amp; COGS Building'!AK12</f>
        <v>46692</v>
      </c>
      <c r="AC3" s="163">
        <f>'Revenue &amp; COGS Building'!AL12</f>
        <v>46722</v>
      </c>
      <c r="AD3" s="163">
        <f>'Revenue &amp; COGS Building'!AM12</f>
        <v>46753</v>
      </c>
      <c r="AE3" s="163">
        <f>'Revenue &amp; COGS Building'!AN12</f>
        <v>46784</v>
      </c>
      <c r="AF3" s="163">
        <f>'Revenue &amp; COGS Building'!AO12</f>
        <v>46813</v>
      </c>
      <c r="AG3" s="163">
        <f>'Revenue &amp; COGS Building'!AP12</f>
        <v>46844</v>
      </c>
      <c r="AH3" s="163">
        <f>'Revenue &amp; COGS Building'!AQ12</f>
        <v>46874</v>
      </c>
      <c r="AI3" s="163">
        <f>'Revenue &amp; COGS Building'!AR12</f>
        <v>46905</v>
      </c>
      <c r="AJ3" s="163">
        <f>'Revenue &amp; COGS Building'!AS12</f>
        <v>46935</v>
      </c>
      <c r="AK3" s="163">
        <f>'Revenue &amp; COGS Building'!AT12</f>
        <v>46966</v>
      </c>
      <c r="AL3" s="163">
        <f>'Revenue &amp; COGS Building'!AU12</f>
        <v>46997</v>
      </c>
      <c r="AM3" s="163">
        <f>'Revenue &amp; COGS Building'!AV12</f>
        <v>47027</v>
      </c>
      <c r="AN3" s="163">
        <f>'Revenue &amp; COGS Building'!AW12</f>
        <v>47058</v>
      </c>
      <c r="AO3" s="163">
        <f>'Revenue &amp; COGS Building'!AX12</f>
        <v>47088</v>
      </c>
    </row>
    <row r="4" spans="1:41" s="11" customFormat="1" ht="15">
      <c r="A4" s="65"/>
      <c r="B4" s="179" t="s">
        <v>532</v>
      </c>
      <c r="C4" s="113"/>
      <c r="D4" s="59"/>
      <c r="E4" s="56"/>
      <c r="F4" s="428">
        <f>'Revenue &amp; COGS Building'!O13</f>
        <v>1</v>
      </c>
      <c r="G4" s="428">
        <f>'Revenue &amp; COGS Building'!P13</f>
        <v>2</v>
      </c>
      <c r="H4" s="428">
        <f>'Revenue &amp; COGS Building'!Q13</f>
        <v>3</v>
      </c>
      <c r="I4" s="428">
        <f>'Revenue &amp; COGS Building'!R13</f>
        <v>4</v>
      </c>
      <c r="J4" s="428">
        <f>'Revenue &amp; COGS Building'!S13</f>
        <v>5</v>
      </c>
      <c r="K4" s="428">
        <f>'Revenue &amp; COGS Building'!T13</f>
        <v>6</v>
      </c>
      <c r="L4" s="428">
        <f>'Revenue &amp; COGS Building'!U13</f>
        <v>7</v>
      </c>
      <c r="M4" s="428">
        <f>'Revenue &amp; COGS Building'!V13</f>
        <v>8</v>
      </c>
      <c r="N4" s="428">
        <f>'Revenue &amp; COGS Building'!W13</f>
        <v>9</v>
      </c>
      <c r="O4" s="428">
        <f>'Revenue &amp; COGS Building'!X13</f>
        <v>10</v>
      </c>
      <c r="P4" s="428">
        <f>'Revenue &amp; COGS Building'!Y13</f>
        <v>11</v>
      </c>
      <c r="Q4" s="428">
        <f>'Revenue &amp; COGS Building'!Z13</f>
        <v>12</v>
      </c>
      <c r="R4" s="428">
        <f>'Revenue &amp; COGS Building'!AA13</f>
        <v>13</v>
      </c>
      <c r="S4" s="428">
        <f>'Revenue &amp; COGS Building'!AB13</f>
        <v>14</v>
      </c>
      <c r="T4" s="428">
        <f>'Revenue &amp; COGS Building'!AC13</f>
        <v>15</v>
      </c>
      <c r="U4" s="428">
        <f>'Revenue &amp; COGS Building'!AD13</f>
        <v>16</v>
      </c>
      <c r="V4" s="428">
        <f>'Revenue &amp; COGS Building'!AE13</f>
        <v>17</v>
      </c>
      <c r="W4" s="428">
        <f>'Revenue &amp; COGS Building'!AF13</f>
        <v>18</v>
      </c>
      <c r="X4" s="428">
        <f>'Revenue &amp; COGS Building'!AG13</f>
        <v>19</v>
      </c>
      <c r="Y4" s="428">
        <f>'Revenue &amp; COGS Building'!AH13</f>
        <v>20</v>
      </c>
      <c r="Z4" s="428">
        <f>'Revenue &amp; COGS Building'!AI13</f>
        <v>21</v>
      </c>
      <c r="AA4" s="428">
        <f>'Revenue &amp; COGS Building'!AJ13</f>
        <v>22</v>
      </c>
      <c r="AB4" s="428">
        <f>'Revenue &amp; COGS Building'!AK13</f>
        <v>23</v>
      </c>
      <c r="AC4" s="428">
        <f>'Revenue &amp; COGS Building'!AL13</f>
        <v>24</v>
      </c>
      <c r="AD4" s="428">
        <f>'Revenue &amp; COGS Building'!AM13</f>
        <v>25</v>
      </c>
      <c r="AE4" s="428">
        <f>'Revenue &amp; COGS Building'!AN13</f>
        <v>26</v>
      </c>
      <c r="AF4" s="428">
        <f>'Revenue &amp; COGS Building'!AO13</f>
        <v>27</v>
      </c>
      <c r="AG4" s="428">
        <f>'Revenue &amp; COGS Building'!AP13</f>
        <v>28</v>
      </c>
      <c r="AH4" s="428">
        <f>'Revenue &amp; COGS Building'!AQ13</f>
        <v>29</v>
      </c>
      <c r="AI4" s="428">
        <f>'Revenue &amp; COGS Building'!AR13</f>
        <v>30</v>
      </c>
      <c r="AJ4" s="428">
        <f>'Revenue &amp; COGS Building'!AS13</f>
        <v>31</v>
      </c>
      <c r="AK4" s="428">
        <f>'Revenue &amp; COGS Building'!AT13</f>
        <v>32</v>
      </c>
      <c r="AL4" s="428">
        <f>'Revenue &amp; COGS Building'!AU13</f>
        <v>33</v>
      </c>
      <c r="AM4" s="428">
        <f>'Revenue &amp; COGS Building'!AV13</f>
        <v>34</v>
      </c>
      <c r="AN4" s="428">
        <f>'Revenue &amp; COGS Building'!AW13</f>
        <v>35</v>
      </c>
      <c r="AO4" s="428">
        <f>'Revenue &amp; COGS Building'!AX13</f>
        <v>36</v>
      </c>
    </row>
    <row r="5" spans="1:41" s="11" customFormat="1" ht="15">
      <c r="A5" s="65"/>
      <c r="B5" s="179" t="s">
        <v>533</v>
      </c>
      <c r="C5" s="113"/>
      <c r="D5" s="59"/>
      <c r="E5" s="56"/>
      <c r="F5" s="428">
        <f>'Revenue &amp; COGS Building'!O14</f>
        <v>1</v>
      </c>
      <c r="G5" s="428">
        <f>'Revenue &amp; COGS Building'!P14</f>
        <v>1</v>
      </c>
      <c r="H5" s="428">
        <f>'Revenue &amp; COGS Building'!Q14</f>
        <v>1</v>
      </c>
      <c r="I5" s="428">
        <f>'Revenue &amp; COGS Building'!R14</f>
        <v>1</v>
      </c>
      <c r="J5" s="428">
        <f>'Revenue &amp; COGS Building'!S14</f>
        <v>1</v>
      </c>
      <c r="K5" s="428">
        <f>'Revenue &amp; COGS Building'!T14</f>
        <v>1</v>
      </c>
      <c r="L5" s="428">
        <f>'Revenue &amp; COGS Building'!U14</f>
        <v>1</v>
      </c>
      <c r="M5" s="428">
        <f>'Revenue &amp; COGS Building'!V14</f>
        <v>1</v>
      </c>
      <c r="N5" s="428">
        <f>'Revenue &amp; COGS Building'!W14</f>
        <v>1</v>
      </c>
      <c r="O5" s="428">
        <f>'Revenue &amp; COGS Building'!X14</f>
        <v>1</v>
      </c>
      <c r="P5" s="428">
        <f>'Revenue &amp; COGS Building'!Y14</f>
        <v>1</v>
      </c>
      <c r="Q5" s="428">
        <f>'Revenue &amp; COGS Building'!Z14</f>
        <v>1</v>
      </c>
      <c r="R5" s="428">
        <f>'Revenue &amp; COGS Building'!AA14</f>
        <v>2</v>
      </c>
      <c r="S5" s="428">
        <f>'Revenue &amp; COGS Building'!AB14</f>
        <v>2</v>
      </c>
      <c r="T5" s="428">
        <f>'Revenue &amp; COGS Building'!AC14</f>
        <v>2</v>
      </c>
      <c r="U5" s="428">
        <f>'Revenue &amp; COGS Building'!AD14</f>
        <v>2</v>
      </c>
      <c r="V5" s="428">
        <f>'Revenue &amp; COGS Building'!AE14</f>
        <v>2</v>
      </c>
      <c r="W5" s="428">
        <f>'Revenue &amp; COGS Building'!AF14</f>
        <v>2</v>
      </c>
      <c r="X5" s="428">
        <f>'Revenue &amp; COGS Building'!AG14</f>
        <v>2</v>
      </c>
      <c r="Y5" s="428">
        <f>'Revenue &amp; COGS Building'!AH14</f>
        <v>2</v>
      </c>
      <c r="Z5" s="428">
        <f>'Revenue &amp; COGS Building'!AI14</f>
        <v>2</v>
      </c>
      <c r="AA5" s="428">
        <f>'Revenue &amp; COGS Building'!AJ14</f>
        <v>2</v>
      </c>
      <c r="AB5" s="428">
        <f>'Revenue &amp; COGS Building'!AK14</f>
        <v>2</v>
      </c>
      <c r="AC5" s="428">
        <f>'Revenue &amp; COGS Building'!AL14</f>
        <v>2</v>
      </c>
      <c r="AD5" s="428">
        <f>'Revenue &amp; COGS Building'!AM14</f>
        <v>3</v>
      </c>
      <c r="AE5" s="428">
        <f>'Revenue &amp; COGS Building'!AN14</f>
        <v>3</v>
      </c>
      <c r="AF5" s="428">
        <f>'Revenue &amp; COGS Building'!AO14</f>
        <v>3</v>
      </c>
      <c r="AG5" s="428">
        <f>'Revenue &amp; COGS Building'!AP14</f>
        <v>3</v>
      </c>
      <c r="AH5" s="428">
        <f>'Revenue &amp; COGS Building'!AQ14</f>
        <v>3</v>
      </c>
      <c r="AI5" s="428">
        <f>'Revenue &amp; COGS Building'!AR14</f>
        <v>3</v>
      </c>
      <c r="AJ5" s="428">
        <f>'Revenue &amp; COGS Building'!AS14</f>
        <v>3</v>
      </c>
      <c r="AK5" s="428">
        <f>'Revenue &amp; COGS Building'!AT14</f>
        <v>3</v>
      </c>
      <c r="AL5" s="428">
        <f>'Revenue &amp; COGS Building'!AU14</f>
        <v>3</v>
      </c>
      <c r="AM5" s="428">
        <f>'Revenue &amp; COGS Building'!AV14</f>
        <v>3</v>
      </c>
      <c r="AN5" s="428">
        <f>'Revenue &amp; COGS Building'!AW14</f>
        <v>3</v>
      </c>
      <c r="AO5" s="428">
        <f>'Revenue &amp; COGS Building'!AX14</f>
        <v>3</v>
      </c>
    </row>
    <row r="6" spans="1:41" s="11" customFormat="1" ht="17" thickBot="1">
      <c r="A6" s="65"/>
      <c r="B6" s="346" t="s">
        <v>342</v>
      </c>
      <c r="C6" s="347">
        <f>+'Ratio Analysis'!D4</f>
        <v>2025</v>
      </c>
      <c r="D6" s="363" t="s">
        <v>340</v>
      </c>
      <c r="E6" s="363" t="s">
        <v>341</v>
      </c>
      <c r="F6" s="346">
        <f>'Revenue &amp; COGS Building'!O15</f>
        <v>2026</v>
      </c>
      <c r="G6" s="346">
        <f>'Revenue &amp; COGS Building'!P15</f>
        <v>2026</v>
      </c>
      <c r="H6" s="346">
        <f>'Revenue &amp; COGS Building'!Q15</f>
        <v>2026</v>
      </c>
      <c r="I6" s="346">
        <f>'Revenue &amp; COGS Building'!R15</f>
        <v>2026</v>
      </c>
      <c r="J6" s="346">
        <f>'Revenue &amp; COGS Building'!S15</f>
        <v>2026</v>
      </c>
      <c r="K6" s="346">
        <f>'Revenue &amp; COGS Building'!T15</f>
        <v>2026</v>
      </c>
      <c r="L6" s="346">
        <f>'Revenue &amp; COGS Building'!U15</f>
        <v>2026</v>
      </c>
      <c r="M6" s="346">
        <f>'Revenue &amp; COGS Building'!V15</f>
        <v>2026</v>
      </c>
      <c r="N6" s="346">
        <f>'Revenue &amp; COGS Building'!W15</f>
        <v>2026</v>
      </c>
      <c r="O6" s="346">
        <f>'Revenue &amp; COGS Building'!X15</f>
        <v>2026</v>
      </c>
      <c r="P6" s="346">
        <f>'Revenue &amp; COGS Building'!Y15</f>
        <v>2026</v>
      </c>
      <c r="Q6" s="346">
        <f>'Revenue &amp; COGS Building'!Z15</f>
        <v>2026</v>
      </c>
      <c r="R6" s="346">
        <f>'Revenue &amp; COGS Building'!AA15</f>
        <v>2027</v>
      </c>
      <c r="S6" s="346">
        <f>'Revenue &amp; COGS Building'!AB15</f>
        <v>2027</v>
      </c>
      <c r="T6" s="346">
        <f>'Revenue &amp; COGS Building'!AC15</f>
        <v>2027</v>
      </c>
      <c r="U6" s="346">
        <f>'Revenue &amp; COGS Building'!AD15</f>
        <v>2027</v>
      </c>
      <c r="V6" s="346">
        <f>'Revenue &amp; COGS Building'!AE15</f>
        <v>2027</v>
      </c>
      <c r="W6" s="346">
        <f>'Revenue &amp; COGS Building'!AF15</f>
        <v>2027</v>
      </c>
      <c r="X6" s="346">
        <f>'Revenue &amp; COGS Building'!AG15</f>
        <v>2027</v>
      </c>
      <c r="Y6" s="346">
        <f>'Revenue &amp; COGS Building'!AH15</f>
        <v>2027</v>
      </c>
      <c r="Z6" s="346">
        <f>'Revenue &amp; COGS Building'!AI15</f>
        <v>2027</v>
      </c>
      <c r="AA6" s="346">
        <f>'Revenue &amp; COGS Building'!AJ15</f>
        <v>2027</v>
      </c>
      <c r="AB6" s="346">
        <f>'Revenue &amp; COGS Building'!AK15</f>
        <v>2027</v>
      </c>
      <c r="AC6" s="346">
        <f>'Revenue &amp; COGS Building'!AL15</f>
        <v>2027</v>
      </c>
      <c r="AD6" s="346">
        <f>'Revenue &amp; COGS Building'!AM15</f>
        <v>2028</v>
      </c>
      <c r="AE6" s="346">
        <f>'Revenue &amp; COGS Building'!AN15</f>
        <v>2028</v>
      </c>
      <c r="AF6" s="346">
        <f>'Revenue &amp; COGS Building'!AO15</f>
        <v>2028</v>
      </c>
      <c r="AG6" s="346">
        <f>'Revenue &amp; COGS Building'!AP15</f>
        <v>2028</v>
      </c>
      <c r="AH6" s="346">
        <f>'Revenue &amp; COGS Building'!AQ15</f>
        <v>2028</v>
      </c>
      <c r="AI6" s="346">
        <f>'Revenue &amp; COGS Building'!AR15</f>
        <v>2028</v>
      </c>
      <c r="AJ6" s="346">
        <f>'Revenue &amp; COGS Building'!AS15</f>
        <v>2028</v>
      </c>
      <c r="AK6" s="346">
        <f>'Revenue &amp; COGS Building'!AT15</f>
        <v>2028</v>
      </c>
      <c r="AL6" s="346">
        <f>'Revenue &amp; COGS Building'!AU15</f>
        <v>2028</v>
      </c>
      <c r="AM6" s="346">
        <f>'Revenue &amp; COGS Building'!AV15</f>
        <v>2028</v>
      </c>
      <c r="AN6" s="346">
        <f>'Revenue &amp; COGS Building'!AW15</f>
        <v>2028</v>
      </c>
      <c r="AO6" s="346">
        <f>'Revenue &amp; COGS Building'!AX15</f>
        <v>2028</v>
      </c>
    </row>
    <row r="7" spans="1:41" s="11" customFormat="1" ht="15">
      <c r="A7" s="65"/>
      <c r="B7" s="62"/>
      <c r="C7" s="68"/>
      <c r="D7" s="61"/>
      <c r="E7" s="61"/>
      <c r="F7" s="108"/>
      <c r="G7" s="108"/>
      <c r="H7" s="108"/>
      <c r="I7" s="62"/>
      <c r="J7" s="62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</row>
    <row r="8" spans="1:41" s="11" customFormat="1" ht="15">
      <c r="A8" s="65"/>
      <c r="B8" s="71" t="s">
        <v>328</v>
      </c>
      <c r="C8" s="481">
        <f>+'Historicals &amp; Projections'!D51</f>
        <v>50</v>
      </c>
      <c r="D8" s="482" t="s">
        <v>509</v>
      </c>
      <c r="E8" s="483"/>
      <c r="F8" s="445">
        <f>+'TA '!F18+IA!F18</f>
        <v>0</v>
      </c>
      <c r="G8" s="445">
        <f>+'TA '!G18+IA!G18</f>
        <v>0</v>
      </c>
      <c r="H8" s="445">
        <f>+'TA '!H18+IA!H18</f>
        <v>0</v>
      </c>
      <c r="I8" s="445">
        <f>+'TA '!I18+IA!I18</f>
        <v>0</v>
      </c>
      <c r="J8" s="445">
        <f>+'TA '!J18+IA!J18</f>
        <v>0</v>
      </c>
      <c r="K8" s="445">
        <f>+'TA '!K18+IA!K18</f>
        <v>0</v>
      </c>
      <c r="L8" s="445">
        <f>+'TA '!L18+IA!L18</f>
        <v>0</v>
      </c>
      <c r="M8" s="445">
        <f>+'TA '!M18+IA!M18</f>
        <v>0</v>
      </c>
      <c r="N8" s="445">
        <f>+'TA '!N18+IA!N18</f>
        <v>50</v>
      </c>
      <c r="O8" s="445">
        <f>+'TA '!O18+IA!O18</f>
        <v>0</v>
      </c>
      <c r="P8" s="445">
        <f>+'TA '!P18+IA!P18</f>
        <v>0</v>
      </c>
      <c r="Q8" s="445">
        <f>+'TA '!Q18+IA!Q18</f>
        <v>0</v>
      </c>
      <c r="R8" s="445">
        <f>+'TA '!R18+IA!R18</f>
        <v>0</v>
      </c>
      <c r="S8" s="445">
        <f>+'TA '!S18+IA!S18</f>
        <v>0</v>
      </c>
      <c r="T8" s="445">
        <f>+'TA '!T18+IA!T18</f>
        <v>0</v>
      </c>
      <c r="U8" s="445">
        <f>+'TA '!U18+IA!U18</f>
        <v>0</v>
      </c>
      <c r="V8" s="445">
        <f>+'TA '!V18+IA!V18</f>
        <v>0</v>
      </c>
      <c r="W8" s="445">
        <f>+'TA '!W18+IA!W18</f>
        <v>0</v>
      </c>
      <c r="X8" s="445">
        <f>+'TA '!X18+IA!X18</f>
        <v>0</v>
      </c>
      <c r="Y8" s="445">
        <f>+'TA '!Y18+IA!Y18</f>
        <v>0</v>
      </c>
      <c r="Z8" s="445">
        <f>+'TA '!Z18+IA!Z18</f>
        <v>0</v>
      </c>
      <c r="AA8" s="445">
        <f>+'TA '!AA18+IA!AA18</f>
        <v>0</v>
      </c>
      <c r="AB8" s="445">
        <f>+'TA '!AB18+IA!AB18</f>
        <v>0</v>
      </c>
      <c r="AC8" s="445">
        <f>+'TA '!AC18+IA!AC18</f>
        <v>0</v>
      </c>
      <c r="AD8" s="445">
        <f>+'TA '!AD18+IA!AD18</f>
        <v>0</v>
      </c>
      <c r="AE8" s="445">
        <f>+'TA '!AE18+IA!AE18</f>
        <v>0</v>
      </c>
      <c r="AF8" s="445">
        <f>+'TA '!AF18+IA!AF18</f>
        <v>0</v>
      </c>
      <c r="AG8" s="445">
        <f>+'TA '!AG18+IA!AG18</f>
        <v>0</v>
      </c>
      <c r="AH8" s="445">
        <f>+'TA '!AH18+IA!AH18</f>
        <v>0</v>
      </c>
      <c r="AI8" s="445">
        <f>+'TA '!AI18+IA!AI18</f>
        <v>0</v>
      </c>
      <c r="AJ8" s="445">
        <f>+'TA '!AJ18+IA!AJ18</f>
        <v>0</v>
      </c>
      <c r="AK8" s="445">
        <f>+'TA '!AK18+IA!AK18</f>
        <v>0</v>
      </c>
      <c r="AL8" s="445">
        <f>+'TA '!AL18+IA!AL18</f>
        <v>0</v>
      </c>
      <c r="AM8" s="445">
        <f>+'TA '!AM18+IA!AM18</f>
        <v>0</v>
      </c>
      <c r="AN8" s="445">
        <f>+'TA '!AN18+IA!AN18</f>
        <v>0</v>
      </c>
      <c r="AO8" s="445">
        <f>+'TA '!AO18+IA!AO18</f>
        <v>0</v>
      </c>
    </row>
    <row r="9" spans="1:41" s="11" customFormat="1" ht="15">
      <c r="A9" s="65"/>
      <c r="B9" s="71" t="s">
        <v>329</v>
      </c>
      <c r="C9" s="481">
        <f>+'Historicals &amp; Projections'!D52</f>
        <v>90</v>
      </c>
      <c r="D9" s="482" t="s">
        <v>509</v>
      </c>
      <c r="E9" s="483"/>
      <c r="F9" s="445">
        <f>+'TA '!F19+IA!F19</f>
        <v>0</v>
      </c>
      <c r="G9" s="445">
        <f>+'TA '!G19+IA!G19</f>
        <v>0</v>
      </c>
      <c r="H9" s="445">
        <f>+'TA '!H19+IA!H19</f>
        <v>0</v>
      </c>
      <c r="I9" s="445">
        <f>+'TA '!I19+IA!I19</f>
        <v>0</v>
      </c>
      <c r="J9" s="445">
        <f>+'TA '!J19+IA!J19</f>
        <v>0</v>
      </c>
      <c r="K9" s="445">
        <f>+'TA '!K19+IA!K19</f>
        <v>0</v>
      </c>
      <c r="L9" s="445">
        <f>+'TA '!L19+IA!L19</f>
        <v>0</v>
      </c>
      <c r="M9" s="445">
        <f>+'TA '!M19+IA!M19</f>
        <v>0</v>
      </c>
      <c r="N9" s="445">
        <f>+'TA '!N19+IA!N19</f>
        <v>0</v>
      </c>
      <c r="O9" s="445">
        <f>+'TA '!O19+IA!O19</f>
        <v>0</v>
      </c>
      <c r="P9" s="445">
        <f>+'TA '!P19+IA!P19</f>
        <v>0</v>
      </c>
      <c r="Q9" s="445">
        <f>+'TA '!Q19+IA!Q19</f>
        <v>0</v>
      </c>
      <c r="R9" s="445">
        <f>+'TA '!R19+IA!R19</f>
        <v>0</v>
      </c>
      <c r="S9" s="445">
        <f>+'TA '!S19+IA!S19</f>
        <v>0</v>
      </c>
      <c r="T9" s="445">
        <f>+'TA '!T19+IA!T19</f>
        <v>0</v>
      </c>
      <c r="U9" s="445">
        <f>+'TA '!U19+IA!U19</f>
        <v>0</v>
      </c>
      <c r="V9" s="445">
        <f>+'TA '!V19+IA!V19</f>
        <v>0</v>
      </c>
      <c r="W9" s="445">
        <f>+'TA '!W19+IA!W19</f>
        <v>0</v>
      </c>
      <c r="X9" s="445">
        <f>+'TA '!X19+IA!X19</f>
        <v>0</v>
      </c>
      <c r="Y9" s="445">
        <f>+'TA '!Y19+IA!Y19</f>
        <v>0</v>
      </c>
      <c r="Z9" s="445">
        <f>+'TA '!Z19+IA!Z19</f>
        <v>0</v>
      </c>
      <c r="AA9" s="445">
        <f>+'TA '!AA19+IA!AA19</f>
        <v>0</v>
      </c>
      <c r="AB9" s="445">
        <f>+'TA '!AB19+IA!AB19</f>
        <v>0</v>
      </c>
      <c r="AC9" s="445">
        <f>+'TA '!AC19+IA!AC19</f>
        <v>0</v>
      </c>
      <c r="AD9" s="445">
        <f>+'TA '!AD19+IA!AD19</f>
        <v>0</v>
      </c>
      <c r="AE9" s="445">
        <f>+'TA '!AE19+IA!AE19</f>
        <v>0</v>
      </c>
      <c r="AF9" s="445">
        <f>+'TA '!AF19+IA!AF19</f>
        <v>0</v>
      </c>
      <c r="AG9" s="445">
        <f>+'TA '!AG19+IA!AG19</f>
        <v>0</v>
      </c>
      <c r="AH9" s="445">
        <f>+'TA '!AH19+IA!AH19</f>
        <v>0</v>
      </c>
      <c r="AI9" s="445">
        <f>+'TA '!AI19+IA!AI19</f>
        <v>0</v>
      </c>
      <c r="AJ9" s="445">
        <f>+'TA '!AJ19+IA!AJ19</f>
        <v>0</v>
      </c>
      <c r="AK9" s="445">
        <f>+'TA '!AK19+IA!AK19</f>
        <v>0</v>
      </c>
      <c r="AL9" s="445">
        <f>+'TA '!AL19+IA!AL19</f>
        <v>0</v>
      </c>
      <c r="AM9" s="445">
        <f>+'TA '!AM19+IA!AM19</f>
        <v>0</v>
      </c>
      <c r="AN9" s="445">
        <f>+'TA '!AN19+IA!AN19</f>
        <v>0</v>
      </c>
      <c r="AO9" s="445">
        <f>+'TA '!AO19+IA!AO19</f>
        <v>0</v>
      </c>
    </row>
    <row r="10" spans="1:41" s="11" customFormat="1" ht="15">
      <c r="A10" s="65"/>
      <c r="B10" s="71" t="s">
        <v>330</v>
      </c>
      <c r="C10" s="481">
        <f>+'Historicals &amp; Projections'!D53</f>
        <v>10</v>
      </c>
      <c r="D10" s="482" t="s">
        <v>343</v>
      </c>
      <c r="E10" s="444">
        <f>+C10/'Historicals &amp; Projections'!D40</f>
        <v>9.0909090909090909E-4</v>
      </c>
      <c r="F10" s="445">
        <f>+$E$10*'Revenue &amp; COGS Building'!O67</f>
        <v>21.969696969696972</v>
      </c>
      <c r="G10" s="445">
        <f>+$E$10*'Revenue &amp; COGS Building'!P67</f>
        <v>29.446969696969699</v>
      </c>
      <c r="H10" s="445">
        <f>+$E$10*'Revenue &amp; COGS Building'!Q67</f>
        <v>36.924242424242422</v>
      </c>
      <c r="I10" s="445">
        <f>+$E$10*'Revenue &amp; COGS Building'!R67</f>
        <v>44.401515151515149</v>
      </c>
      <c r="J10" s="445">
        <f>+$E$10*'Revenue &amp; COGS Building'!S67</f>
        <v>51.878787878787875</v>
      </c>
      <c r="K10" s="445">
        <f>+$E$10*'Revenue &amp; COGS Building'!T67</f>
        <v>59.348484848484851</v>
      </c>
      <c r="L10" s="445">
        <f>+$E$10*'Revenue &amp; COGS Building'!U67</f>
        <v>66.818181818181813</v>
      </c>
      <c r="M10" s="445">
        <f>+$E$10*'Revenue &amp; COGS Building'!V67</f>
        <v>74.287878787878796</v>
      </c>
      <c r="N10" s="445">
        <f>+$E$10*'Revenue &amp; COGS Building'!W67</f>
        <v>81.757575757575751</v>
      </c>
      <c r="O10" s="445">
        <f>+$E$10*'Revenue &amp; COGS Building'!X67</f>
        <v>89.227272727272734</v>
      </c>
      <c r="P10" s="445">
        <f>+$E$10*'Revenue &amp; COGS Building'!Y67</f>
        <v>96.696969696969703</v>
      </c>
      <c r="Q10" s="445">
        <f>+$E$10*'Revenue &amp; COGS Building'!Z67</f>
        <v>104.16666666666666</v>
      </c>
      <c r="R10" s="445">
        <f>+$E$10*'Revenue &amp; COGS Building'!AA67</f>
        <v>177.90909090909091</v>
      </c>
      <c r="S10" s="445">
        <f>+$E$10*'Revenue &amp; COGS Building'!AB67</f>
        <v>193.22727272727272</v>
      </c>
      <c r="T10" s="445">
        <f>+$E$10*'Revenue &amp; COGS Building'!AC67</f>
        <v>208.54545454545453</v>
      </c>
      <c r="U10" s="445">
        <f>+$E$10*'Revenue &amp; COGS Building'!AD67</f>
        <v>223.86363636363637</v>
      </c>
      <c r="V10" s="445">
        <f>+$E$10*'Revenue &amp; COGS Building'!AE67</f>
        <v>237.81818181818181</v>
      </c>
      <c r="W10" s="445">
        <f>+$E$10*'Revenue &amp; COGS Building'!AF67</f>
        <v>251.22727272727272</v>
      </c>
      <c r="X10" s="445">
        <f>+$E$10*'Revenue &amp; COGS Building'!AG67</f>
        <v>264.63636363636363</v>
      </c>
      <c r="Y10" s="445">
        <f>+$E$10*'Revenue &amp; COGS Building'!AH67</f>
        <v>278.04545454545456</v>
      </c>
      <c r="Z10" s="445">
        <f>+$E$10*'Revenue &amp; COGS Building'!AI67</f>
        <v>291.44696969696969</v>
      </c>
      <c r="AA10" s="445">
        <f>+$E$10*'Revenue &amp; COGS Building'!AJ67</f>
        <v>304.84848484848482</v>
      </c>
      <c r="AB10" s="445">
        <f>+$E$10*'Revenue &amp; COGS Building'!AK67</f>
        <v>318.25</v>
      </c>
      <c r="AC10" s="445">
        <f>+$E$10*'Revenue &amp; COGS Building'!AL67</f>
        <v>331.65151515151518</v>
      </c>
      <c r="AD10" s="445">
        <f>+$E$10*'Revenue &amp; COGS Building'!AM67</f>
        <v>373.96212121212119</v>
      </c>
      <c r="AE10" s="445">
        <f>+$E$10*'Revenue &amp; COGS Building'!AN67</f>
        <v>391.47727272727275</v>
      </c>
      <c r="AF10" s="445">
        <f>+$E$10*'Revenue &amp; COGS Building'!AO67</f>
        <v>408.99242424242425</v>
      </c>
      <c r="AG10" s="445">
        <f>+$E$10*'Revenue &amp; COGS Building'!AP67</f>
        <v>426.50757575757575</v>
      </c>
      <c r="AH10" s="445">
        <f>+$E$10*'Revenue &amp; COGS Building'!AQ67</f>
        <v>444.02272727272725</v>
      </c>
      <c r="AI10" s="445">
        <f>+$E$10*'Revenue &amp; COGS Building'!AR67</f>
        <v>461.53787878787881</v>
      </c>
      <c r="AJ10" s="445">
        <f>+$E$10*'Revenue &amp; COGS Building'!AS67</f>
        <v>479.04545454545456</v>
      </c>
      <c r="AK10" s="445">
        <f>+$E$10*'Revenue &amp; COGS Building'!AT67</f>
        <v>496.55303030303031</v>
      </c>
      <c r="AL10" s="445">
        <f>+$E$10*'Revenue &amp; COGS Building'!AU67</f>
        <v>514.06060606060601</v>
      </c>
      <c r="AM10" s="445">
        <f>+$E$10*'Revenue &amp; COGS Building'!AV67</f>
        <v>531.56818181818187</v>
      </c>
      <c r="AN10" s="445">
        <f>+$E$10*'Revenue &amp; COGS Building'!AW67</f>
        <v>549.07575757575762</v>
      </c>
      <c r="AO10" s="445">
        <f>+$E$10*'Revenue &amp; COGS Building'!AX67</f>
        <v>566.58333333333326</v>
      </c>
    </row>
    <row r="11" spans="1:41" s="11" customFormat="1" ht="15">
      <c r="A11" s="65"/>
      <c r="B11" s="71" t="s">
        <v>331</v>
      </c>
      <c r="C11" s="481">
        <f>+'Historicals &amp; Projections'!D54</f>
        <v>10</v>
      </c>
      <c r="D11" s="482" t="s">
        <v>344</v>
      </c>
      <c r="E11" s="444">
        <f>+C11/'Historicals &amp; Projections'!D43</f>
        <v>1.4705882352941176E-3</v>
      </c>
      <c r="F11" s="445">
        <f>+$E$11*'Revenue &amp; COGS Building'!O103</f>
        <v>24.124387254901958</v>
      </c>
      <c r="G11" s="445">
        <f>+$E$11*'Revenue &amp; COGS Building'!P103</f>
        <v>32.553523284313727</v>
      </c>
      <c r="H11" s="445">
        <f>+$E$11*'Revenue &amp; COGS Building'!Q103</f>
        <v>40.982659313725492</v>
      </c>
      <c r="I11" s="445">
        <f>+$E$11*'Revenue &amp; COGS Building'!R103</f>
        <v>49.411795343137257</v>
      </c>
      <c r="J11" s="445">
        <f>+$E$11*'Revenue &amp; COGS Building'!S103</f>
        <v>57.840931372549036</v>
      </c>
      <c r="K11" s="445">
        <f>+$E$11*'Revenue &amp; COGS Building'!T103</f>
        <v>66.2610906862745</v>
      </c>
      <c r="L11" s="445">
        <f>+$E$11*'Revenue &amp; COGS Building'!U103</f>
        <v>74.681250000000006</v>
      </c>
      <c r="M11" s="445">
        <f>+$E$11*'Revenue &amp; COGS Building'!V103</f>
        <v>83.101409313725497</v>
      </c>
      <c r="N11" s="445">
        <f>+$E$11*'Revenue &amp; COGS Building'!W103</f>
        <v>91.521568627450989</v>
      </c>
      <c r="O11" s="445">
        <f>+$E$11*'Revenue &amp; COGS Building'!X103</f>
        <v>99.941727941176467</v>
      </c>
      <c r="P11" s="445">
        <f>+$E$11*'Revenue &amp; COGS Building'!Y103</f>
        <v>108.36188725490196</v>
      </c>
      <c r="Q11" s="445">
        <f>+$E$11*'Revenue &amp; COGS Building'!Z103</f>
        <v>116.78204656862748</v>
      </c>
      <c r="R11" s="445">
        <f>+$E$11*'Revenue &amp; COGS Building'!AA103</f>
        <v>196.01213235294117</v>
      </c>
      <c r="S11" s="445">
        <f>+$E$11*'Revenue &amp; COGS Building'!AB103</f>
        <v>213.51672794117647</v>
      </c>
      <c r="T11" s="445">
        <f>+$E$11*'Revenue &amp; COGS Building'!AC103</f>
        <v>231.02132352941177</v>
      </c>
      <c r="U11" s="445">
        <f>+$E$11*'Revenue &amp; COGS Building'!AD103</f>
        <v>248.52591911764705</v>
      </c>
      <c r="V11" s="445">
        <f>+$E$11*'Revenue &amp; COGS Building'!AE103</f>
        <v>264.41470588235296</v>
      </c>
      <c r="W11" s="445">
        <f>+$E$11*'Revenue &amp; COGS Building'!AF103</f>
        <v>279.87261029411764</v>
      </c>
      <c r="X11" s="445">
        <f>+$E$11*'Revenue &amp; COGS Building'!AG103</f>
        <v>295.33051470588236</v>
      </c>
      <c r="Y11" s="445">
        <f>+$E$11*'Revenue &amp; COGS Building'!AH103</f>
        <v>310.78841911764704</v>
      </c>
      <c r="Z11" s="445">
        <f>+$E$11*'Revenue &amp; COGS Building'!AI103</f>
        <v>326.23734681372554</v>
      </c>
      <c r="AA11" s="445">
        <f>+$E$11*'Revenue &amp; COGS Building'!AJ103</f>
        <v>341.68627450980392</v>
      </c>
      <c r="AB11" s="445">
        <f>+$E$11*'Revenue &amp; COGS Building'!AK103</f>
        <v>357.13520220588236</v>
      </c>
      <c r="AC11" s="445">
        <f>+$E$11*'Revenue &amp; COGS Building'!AL103</f>
        <v>372.58412990196075</v>
      </c>
      <c r="AD11" s="445">
        <f>+$E$11*'Revenue &amp; COGS Building'!AM103</f>
        <v>411.64188112745103</v>
      </c>
      <c r="AE11" s="445">
        <f>+$E$11*'Revenue &amp; COGS Building'!AN103</f>
        <v>431.42656249999999</v>
      </c>
      <c r="AF11" s="445">
        <f>+$E$11*'Revenue &amp; COGS Building'!AO103</f>
        <v>451.21124387254901</v>
      </c>
      <c r="AG11" s="445">
        <f>+$E$11*'Revenue &amp; COGS Building'!AP103</f>
        <v>470.99592524509814</v>
      </c>
      <c r="AH11" s="445">
        <f>+$E$11*'Revenue &amp; COGS Building'!AQ103</f>
        <v>490.78060661764704</v>
      </c>
      <c r="AI11" s="445">
        <f>+$E$11*'Revenue &amp; COGS Building'!AR103</f>
        <v>510.56528799019605</v>
      </c>
      <c r="AJ11" s="445">
        <f>+$E$11*'Revenue &amp; COGS Building'!AS103</f>
        <v>530.34099264705878</v>
      </c>
      <c r="AK11" s="445">
        <f>+$E$11*'Revenue &amp; COGS Building'!AT103</f>
        <v>550.11669730392168</v>
      </c>
      <c r="AL11" s="445">
        <f>+$E$11*'Revenue &amp; COGS Building'!AU103</f>
        <v>569.89240196078424</v>
      </c>
      <c r="AM11" s="445">
        <f>+$E$11*'Revenue &amp; COGS Building'!AV103</f>
        <v>589.66810661764703</v>
      </c>
      <c r="AN11" s="445">
        <f>+$E$11*'Revenue &amp; COGS Building'!AW103</f>
        <v>609.44381127450993</v>
      </c>
      <c r="AO11" s="445">
        <f>+$E$11*'Revenue &amp; COGS Building'!AX103</f>
        <v>629.2195159313726</v>
      </c>
    </row>
    <row r="12" spans="1:41" s="11" customFormat="1" ht="15">
      <c r="A12" s="65"/>
      <c r="B12" s="109" t="s">
        <v>342</v>
      </c>
      <c r="C12" s="484">
        <f>SUM(C8:C11)</f>
        <v>160</v>
      </c>
      <c r="D12" s="485"/>
      <c r="E12" s="485"/>
      <c r="F12" s="443">
        <f>SUM(F8:F11)</f>
        <v>46.09408422459893</v>
      </c>
      <c r="G12" s="443">
        <f>SUM(G8:G11)</f>
        <v>62.000492981283429</v>
      </c>
      <c r="H12" s="443">
        <f>SUM(H8:H11)</f>
        <v>77.906901737967914</v>
      </c>
      <c r="I12" s="443">
        <f>SUM(I8:I11)</f>
        <v>93.813310494652399</v>
      </c>
      <c r="J12" s="443">
        <f>SUM(J8:J11)</f>
        <v>109.71971925133691</v>
      </c>
      <c r="K12" s="443">
        <f t="shared" ref="K12:Q12" si="0">SUM(K8:K11)</f>
        <v>125.60957553475936</v>
      </c>
      <c r="L12" s="443">
        <f t="shared" si="0"/>
        <v>141.49943181818182</v>
      </c>
      <c r="M12" s="443">
        <f t="shared" si="0"/>
        <v>157.38928810160428</v>
      </c>
      <c r="N12" s="443">
        <f t="shared" si="0"/>
        <v>223.27914438502674</v>
      </c>
      <c r="O12" s="443">
        <f t="shared" si="0"/>
        <v>189.1690006684492</v>
      </c>
      <c r="P12" s="443">
        <f t="shared" si="0"/>
        <v>205.05885695187166</v>
      </c>
      <c r="Q12" s="443">
        <f t="shared" si="0"/>
        <v>220.94871323529412</v>
      </c>
      <c r="R12" s="443">
        <f t="shared" ref="R12:AH12" si="1">SUM(R8:R11)</f>
        <v>373.92122326203207</v>
      </c>
      <c r="S12" s="443">
        <f t="shared" si="1"/>
        <v>406.74400066844919</v>
      </c>
      <c r="T12" s="443">
        <f t="shared" si="1"/>
        <v>439.56677807486631</v>
      </c>
      <c r="U12" s="443">
        <f t="shared" si="1"/>
        <v>472.38955548128342</v>
      </c>
      <c r="V12" s="443">
        <f t="shared" si="1"/>
        <v>502.23288770053477</v>
      </c>
      <c r="W12" s="443">
        <f t="shared" si="1"/>
        <v>531.09988302139038</v>
      </c>
      <c r="X12" s="443">
        <f t="shared" si="1"/>
        <v>559.96687834224599</v>
      </c>
      <c r="Y12" s="443">
        <f t="shared" si="1"/>
        <v>588.8338736631016</v>
      </c>
      <c r="Z12" s="443">
        <f t="shared" si="1"/>
        <v>617.68431651069523</v>
      </c>
      <c r="AA12" s="443">
        <f t="shared" si="1"/>
        <v>646.53475935828874</v>
      </c>
      <c r="AB12" s="443">
        <f t="shared" si="1"/>
        <v>675.38520220588236</v>
      </c>
      <c r="AC12" s="443">
        <f t="shared" si="1"/>
        <v>704.23564505347599</v>
      </c>
      <c r="AD12" s="443">
        <f t="shared" si="1"/>
        <v>785.60400233957216</v>
      </c>
      <c r="AE12" s="443">
        <f t="shared" si="1"/>
        <v>822.90383522727279</v>
      </c>
      <c r="AF12" s="443">
        <f t="shared" si="1"/>
        <v>860.2036681149732</v>
      </c>
      <c r="AG12" s="443">
        <f t="shared" si="1"/>
        <v>897.50350100267383</v>
      </c>
      <c r="AH12" s="443">
        <f t="shared" si="1"/>
        <v>934.80333389037423</v>
      </c>
      <c r="AI12" s="443">
        <f t="shared" ref="AI12:AO12" si="2">SUM(AI8:AI11)</f>
        <v>972.10316677807486</v>
      </c>
      <c r="AJ12" s="443">
        <f t="shared" si="2"/>
        <v>1009.3864471925133</v>
      </c>
      <c r="AK12" s="443">
        <f t="shared" si="2"/>
        <v>1046.6697276069519</v>
      </c>
      <c r="AL12" s="443">
        <f t="shared" si="2"/>
        <v>1083.9530080213904</v>
      </c>
      <c r="AM12" s="443">
        <f t="shared" si="2"/>
        <v>1121.236288435829</v>
      </c>
      <c r="AN12" s="443">
        <f t="shared" si="2"/>
        <v>1158.5195688502677</v>
      </c>
      <c r="AO12" s="443">
        <f t="shared" si="2"/>
        <v>1195.8028492647059</v>
      </c>
    </row>
    <row r="13" spans="1:41" s="11" customFormat="1" ht="15">
      <c r="A13" s="65"/>
      <c r="B13" s="62"/>
      <c r="C13" s="68"/>
      <c r="D13" s="61"/>
      <c r="E13" s="61"/>
      <c r="F13" s="108"/>
      <c r="G13" s="108"/>
      <c r="H13" s="108"/>
      <c r="I13" s="108"/>
      <c r="J13" s="108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</row>
    <row r="14" spans="1:41" ht="15">
      <c r="A14" s="59"/>
      <c r="B14" s="161" t="s">
        <v>211</v>
      </c>
      <c r="C14" s="115"/>
      <c r="D14" s="178"/>
      <c r="E14" s="178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254">
        <f>+((Q12/C12)^(1/12))-1</f>
        <v>2.7261372333978295E-2</v>
      </c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</row>
    <row r="15" spans="1:41" ht="15">
      <c r="A15" s="59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</row>
    <row r="16" spans="1:41" ht="15">
      <c r="A16" s="59"/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</row>
    <row r="17" spans="1:41" ht="15">
      <c r="A17" s="59"/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</row>
    <row r="18" spans="1:41" ht="15">
      <c r="A18" s="59"/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</row>
    <row r="19" spans="1:41" ht="15">
      <c r="A19" s="59"/>
      <c r="B19" s="58"/>
      <c r="C19" s="59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</row>
    <row r="20" spans="1:41" ht="15">
      <c r="A20" s="59"/>
      <c r="B20" s="58"/>
      <c r="C20" s="59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</row>
    <row r="21" spans="1:41" ht="15">
      <c r="A21" s="59"/>
      <c r="B21" s="58"/>
      <c r="C21" s="59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</row>
    <row r="22" spans="1:41" ht="15">
      <c r="A22" s="59"/>
      <c r="B22" s="58"/>
      <c r="C22" s="59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</row>
    <row r="23" spans="1:41" ht="15">
      <c r="A23" s="59"/>
      <c r="B23" s="58"/>
      <c r="C23" s="59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/>
  </sheetPr>
  <dimension ref="A1:AO77"/>
  <sheetViews>
    <sheetView showGridLines="0" topLeftCell="A4" workbookViewId="0">
      <pane xSplit="3" topLeftCell="D1" activePane="topRight" state="frozen"/>
      <selection pane="topRight" activeCell="E22" sqref="E22"/>
    </sheetView>
  </sheetViews>
  <sheetFormatPr baseColWidth="10" defaultColWidth="8.83203125" defaultRowHeight="14"/>
  <cols>
    <col min="1" max="1" width="3.1640625" style="21" customWidth="1"/>
    <col min="2" max="2" width="33.5" style="16" customWidth="1"/>
    <col min="3" max="3" width="18.5" style="16" bestFit="1" customWidth="1"/>
    <col min="4" max="41" width="12.33203125" style="16" customWidth="1"/>
    <col min="42" max="16384" width="8.83203125" style="16"/>
  </cols>
  <sheetData>
    <row r="1" spans="1:41" s="323" customFormat="1" ht="16">
      <c r="A1" s="297" t="s">
        <v>493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60"/>
      <c r="AO1" s="60"/>
    </row>
    <row r="2" spans="1:41" s="119" customFormat="1" ht="16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60"/>
      <c r="AO2" s="60"/>
    </row>
    <row r="3" spans="1:41" ht="15">
      <c r="A3" s="59"/>
      <c r="B3" s="215" t="s">
        <v>534</v>
      </c>
      <c r="C3" s="58"/>
      <c r="D3" s="163">
        <f>'Revenue &amp; COGS Building'!O12</f>
        <v>46053</v>
      </c>
      <c r="E3" s="163">
        <f>'Revenue &amp; COGS Building'!P12</f>
        <v>46054</v>
      </c>
      <c r="F3" s="163">
        <f>'Revenue &amp; COGS Building'!Q12</f>
        <v>46082</v>
      </c>
      <c r="G3" s="163">
        <f>'Revenue &amp; COGS Building'!R12</f>
        <v>46113</v>
      </c>
      <c r="H3" s="163">
        <f>'Revenue &amp; COGS Building'!S12</f>
        <v>46143</v>
      </c>
      <c r="I3" s="163">
        <f>'Revenue &amp; COGS Building'!T12</f>
        <v>46174</v>
      </c>
      <c r="J3" s="163">
        <f>'Revenue &amp; COGS Building'!U12</f>
        <v>46204</v>
      </c>
      <c r="K3" s="163">
        <f>'Revenue &amp; COGS Building'!V12</f>
        <v>46235</v>
      </c>
      <c r="L3" s="163">
        <f>'Revenue &amp; COGS Building'!W12</f>
        <v>46266</v>
      </c>
      <c r="M3" s="163">
        <f>'Revenue &amp; COGS Building'!X12</f>
        <v>46296</v>
      </c>
      <c r="N3" s="163">
        <f>'Revenue &amp; COGS Building'!Y12</f>
        <v>46327</v>
      </c>
      <c r="O3" s="163">
        <f>'Revenue &amp; COGS Building'!Z12</f>
        <v>46357</v>
      </c>
      <c r="P3" s="163">
        <f>'Revenue &amp; COGS Building'!AA12</f>
        <v>46388</v>
      </c>
      <c r="Q3" s="163">
        <f>'Revenue &amp; COGS Building'!AB12</f>
        <v>46419</v>
      </c>
      <c r="R3" s="163">
        <f>'Revenue &amp; COGS Building'!AC12</f>
        <v>46447</v>
      </c>
      <c r="S3" s="163">
        <f>'Revenue &amp; COGS Building'!AD12</f>
        <v>46478</v>
      </c>
      <c r="T3" s="163">
        <f>'Revenue &amp; COGS Building'!AE12</f>
        <v>46508</v>
      </c>
      <c r="U3" s="163">
        <f>'Revenue &amp; COGS Building'!AF12</f>
        <v>46539</v>
      </c>
      <c r="V3" s="163">
        <f>'Revenue &amp; COGS Building'!AG12</f>
        <v>46569</v>
      </c>
      <c r="W3" s="163">
        <f>'Revenue &amp; COGS Building'!AH12</f>
        <v>46600</v>
      </c>
      <c r="X3" s="163">
        <f>'Revenue &amp; COGS Building'!AI12</f>
        <v>46631</v>
      </c>
      <c r="Y3" s="163">
        <f>'Revenue &amp; COGS Building'!AJ12</f>
        <v>46661</v>
      </c>
      <c r="Z3" s="163">
        <f>'Revenue &amp; COGS Building'!AK12</f>
        <v>46692</v>
      </c>
      <c r="AA3" s="163">
        <f>'Revenue &amp; COGS Building'!AL12</f>
        <v>46722</v>
      </c>
      <c r="AB3" s="163">
        <f>'Revenue &amp; COGS Building'!AM12</f>
        <v>46753</v>
      </c>
      <c r="AC3" s="163">
        <f>'Revenue &amp; COGS Building'!AN12</f>
        <v>46784</v>
      </c>
      <c r="AD3" s="163">
        <f>'Revenue &amp; COGS Building'!AO12</f>
        <v>46813</v>
      </c>
      <c r="AE3" s="163">
        <f>'Revenue &amp; COGS Building'!AP12</f>
        <v>46844</v>
      </c>
      <c r="AF3" s="163">
        <f>'Revenue &amp; COGS Building'!AQ12</f>
        <v>46874</v>
      </c>
      <c r="AG3" s="163">
        <f>'Revenue &amp; COGS Building'!AR12</f>
        <v>46905</v>
      </c>
      <c r="AH3" s="163">
        <f>'Revenue &amp; COGS Building'!AS12</f>
        <v>46935</v>
      </c>
      <c r="AI3" s="163">
        <f>'Revenue &amp; COGS Building'!AT12</f>
        <v>46966</v>
      </c>
      <c r="AJ3" s="163">
        <f>'Revenue &amp; COGS Building'!AU12</f>
        <v>46997</v>
      </c>
      <c r="AK3" s="163">
        <f>'Revenue &amp; COGS Building'!AV12</f>
        <v>47027</v>
      </c>
      <c r="AL3" s="163">
        <f>'Revenue &amp; COGS Building'!AW12</f>
        <v>47058</v>
      </c>
      <c r="AM3" s="163">
        <f>'Revenue &amp; COGS Building'!AX12</f>
        <v>47088</v>
      </c>
      <c r="AN3" s="163"/>
      <c r="AO3" s="163"/>
    </row>
    <row r="4" spans="1:41" s="11" customFormat="1" ht="15">
      <c r="A4" s="56"/>
      <c r="B4" s="215" t="s">
        <v>532</v>
      </c>
      <c r="C4" s="56"/>
      <c r="D4" s="428">
        <f>'Revenue &amp; COGS Building'!O13</f>
        <v>1</v>
      </c>
      <c r="E4" s="428">
        <f>'Revenue &amp; COGS Building'!P13</f>
        <v>2</v>
      </c>
      <c r="F4" s="428">
        <f>'Revenue &amp; COGS Building'!Q13</f>
        <v>3</v>
      </c>
      <c r="G4" s="428">
        <f>'Revenue &amp; COGS Building'!R13</f>
        <v>4</v>
      </c>
      <c r="H4" s="428">
        <f>'Revenue &amp; COGS Building'!S13</f>
        <v>5</v>
      </c>
      <c r="I4" s="428">
        <f>'Revenue &amp; COGS Building'!T13</f>
        <v>6</v>
      </c>
      <c r="J4" s="428">
        <f>'Revenue &amp; COGS Building'!U13</f>
        <v>7</v>
      </c>
      <c r="K4" s="428">
        <f>'Revenue &amp; COGS Building'!V13</f>
        <v>8</v>
      </c>
      <c r="L4" s="428">
        <f>'Revenue &amp; COGS Building'!W13</f>
        <v>9</v>
      </c>
      <c r="M4" s="428">
        <f>'Revenue &amp; COGS Building'!X13</f>
        <v>10</v>
      </c>
      <c r="N4" s="428">
        <f>'Revenue &amp; COGS Building'!Y13</f>
        <v>11</v>
      </c>
      <c r="O4" s="428">
        <f>'Revenue &amp; COGS Building'!Z13</f>
        <v>12</v>
      </c>
      <c r="P4" s="428">
        <f>'Revenue &amp; COGS Building'!AA13</f>
        <v>13</v>
      </c>
      <c r="Q4" s="428">
        <f>'Revenue &amp; COGS Building'!AB13</f>
        <v>14</v>
      </c>
      <c r="R4" s="428">
        <f>'Revenue &amp; COGS Building'!AC13</f>
        <v>15</v>
      </c>
      <c r="S4" s="428">
        <f>'Revenue &amp; COGS Building'!AD13</f>
        <v>16</v>
      </c>
      <c r="T4" s="428">
        <f>'Revenue &amp; COGS Building'!AE13</f>
        <v>17</v>
      </c>
      <c r="U4" s="428">
        <f>'Revenue &amp; COGS Building'!AF13</f>
        <v>18</v>
      </c>
      <c r="V4" s="428">
        <f>'Revenue &amp; COGS Building'!AG13</f>
        <v>19</v>
      </c>
      <c r="W4" s="428">
        <f>'Revenue &amp; COGS Building'!AH13</f>
        <v>20</v>
      </c>
      <c r="X4" s="428">
        <f>'Revenue &amp; COGS Building'!AI13</f>
        <v>21</v>
      </c>
      <c r="Y4" s="428">
        <f>'Revenue &amp; COGS Building'!AJ13</f>
        <v>22</v>
      </c>
      <c r="Z4" s="428">
        <f>'Revenue &amp; COGS Building'!AK13</f>
        <v>23</v>
      </c>
      <c r="AA4" s="428">
        <f>'Revenue &amp; COGS Building'!AL13</f>
        <v>24</v>
      </c>
      <c r="AB4" s="428">
        <f>'Revenue &amp; COGS Building'!AM13</f>
        <v>25</v>
      </c>
      <c r="AC4" s="428">
        <f>'Revenue &amp; COGS Building'!AN13</f>
        <v>26</v>
      </c>
      <c r="AD4" s="428">
        <f>'Revenue &amp; COGS Building'!AO13</f>
        <v>27</v>
      </c>
      <c r="AE4" s="428">
        <f>'Revenue &amp; COGS Building'!AP13</f>
        <v>28</v>
      </c>
      <c r="AF4" s="428">
        <f>'Revenue &amp; COGS Building'!AQ13</f>
        <v>29</v>
      </c>
      <c r="AG4" s="428">
        <f>'Revenue &amp; COGS Building'!AR13</f>
        <v>30</v>
      </c>
      <c r="AH4" s="428">
        <f>'Revenue &amp; COGS Building'!AS13</f>
        <v>31</v>
      </c>
      <c r="AI4" s="428">
        <f>'Revenue &amp; COGS Building'!AT13</f>
        <v>32</v>
      </c>
      <c r="AJ4" s="428">
        <f>'Revenue &amp; COGS Building'!AU13</f>
        <v>33</v>
      </c>
      <c r="AK4" s="428">
        <f>'Revenue &amp; COGS Building'!AV13</f>
        <v>34</v>
      </c>
      <c r="AL4" s="428">
        <f>'Revenue &amp; COGS Building'!AW13</f>
        <v>35</v>
      </c>
      <c r="AM4" s="428">
        <f>'Revenue &amp; COGS Building'!AX13</f>
        <v>36</v>
      </c>
      <c r="AN4" s="438"/>
      <c r="AO4" s="438"/>
    </row>
    <row r="5" spans="1:41" s="11" customFormat="1" ht="15">
      <c r="A5" s="56"/>
      <c r="B5" s="215" t="s">
        <v>533</v>
      </c>
      <c r="C5" s="56"/>
      <c r="D5" s="428">
        <f>'Revenue &amp; COGS Building'!O14</f>
        <v>1</v>
      </c>
      <c r="E5" s="428">
        <f>'Revenue &amp; COGS Building'!P14</f>
        <v>1</v>
      </c>
      <c r="F5" s="428">
        <f>'Revenue &amp; COGS Building'!Q14</f>
        <v>1</v>
      </c>
      <c r="G5" s="428">
        <f>'Revenue &amp; COGS Building'!R14</f>
        <v>1</v>
      </c>
      <c r="H5" s="428">
        <f>'Revenue &amp; COGS Building'!S14</f>
        <v>1</v>
      </c>
      <c r="I5" s="428">
        <f>'Revenue &amp; COGS Building'!T14</f>
        <v>1</v>
      </c>
      <c r="J5" s="428">
        <f>'Revenue &amp; COGS Building'!U14</f>
        <v>1</v>
      </c>
      <c r="K5" s="428">
        <f>'Revenue &amp; COGS Building'!V14</f>
        <v>1</v>
      </c>
      <c r="L5" s="428">
        <f>'Revenue &amp; COGS Building'!W14</f>
        <v>1</v>
      </c>
      <c r="M5" s="428">
        <f>'Revenue &amp; COGS Building'!X14</f>
        <v>1</v>
      </c>
      <c r="N5" s="428">
        <f>'Revenue &amp; COGS Building'!Y14</f>
        <v>1</v>
      </c>
      <c r="O5" s="428">
        <f>'Revenue &amp; COGS Building'!Z14</f>
        <v>1</v>
      </c>
      <c r="P5" s="428">
        <f>'Revenue &amp; COGS Building'!AA14</f>
        <v>2</v>
      </c>
      <c r="Q5" s="428">
        <f>'Revenue &amp; COGS Building'!AB14</f>
        <v>2</v>
      </c>
      <c r="R5" s="428">
        <f>'Revenue &amp; COGS Building'!AC14</f>
        <v>2</v>
      </c>
      <c r="S5" s="428">
        <f>'Revenue &amp; COGS Building'!AD14</f>
        <v>2</v>
      </c>
      <c r="T5" s="428">
        <f>'Revenue &amp; COGS Building'!AE14</f>
        <v>2</v>
      </c>
      <c r="U5" s="428">
        <f>'Revenue &amp; COGS Building'!AF14</f>
        <v>2</v>
      </c>
      <c r="V5" s="428">
        <f>'Revenue &amp; COGS Building'!AG14</f>
        <v>2</v>
      </c>
      <c r="W5" s="428">
        <f>'Revenue &amp; COGS Building'!AH14</f>
        <v>2</v>
      </c>
      <c r="X5" s="428">
        <f>'Revenue &amp; COGS Building'!AI14</f>
        <v>2</v>
      </c>
      <c r="Y5" s="428">
        <f>'Revenue &amp; COGS Building'!AJ14</f>
        <v>2</v>
      </c>
      <c r="Z5" s="428">
        <f>'Revenue &amp; COGS Building'!AK14</f>
        <v>2</v>
      </c>
      <c r="AA5" s="428">
        <f>'Revenue &amp; COGS Building'!AL14</f>
        <v>2</v>
      </c>
      <c r="AB5" s="428">
        <f>'Revenue &amp; COGS Building'!AM14</f>
        <v>3</v>
      </c>
      <c r="AC5" s="428">
        <f>'Revenue &amp; COGS Building'!AN14</f>
        <v>3</v>
      </c>
      <c r="AD5" s="428">
        <f>'Revenue &amp; COGS Building'!AO14</f>
        <v>3</v>
      </c>
      <c r="AE5" s="428">
        <f>'Revenue &amp; COGS Building'!AP14</f>
        <v>3</v>
      </c>
      <c r="AF5" s="428">
        <f>'Revenue &amp; COGS Building'!AQ14</f>
        <v>3</v>
      </c>
      <c r="AG5" s="428">
        <f>'Revenue &amp; COGS Building'!AR14</f>
        <v>3</v>
      </c>
      <c r="AH5" s="428">
        <f>'Revenue &amp; COGS Building'!AS14</f>
        <v>3</v>
      </c>
      <c r="AI5" s="428">
        <f>'Revenue &amp; COGS Building'!AT14</f>
        <v>3</v>
      </c>
      <c r="AJ5" s="428">
        <f>'Revenue &amp; COGS Building'!AU14</f>
        <v>3</v>
      </c>
      <c r="AK5" s="428">
        <f>'Revenue &amp; COGS Building'!AV14</f>
        <v>3</v>
      </c>
      <c r="AL5" s="428">
        <f>'Revenue &amp; COGS Building'!AW14</f>
        <v>3</v>
      </c>
      <c r="AM5" s="428">
        <f>'Revenue &amp; COGS Building'!AX14</f>
        <v>3</v>
      </c>
      <c r="AN5" s="438"/>
      <c r="AO5" s="438"/>
    </row>
    <row r="6" spans="1:41" ht="16" thickBot="1">
      <c r="A6" s="59"/>
      <c r="B6" s="181" t="s">
        <v>535</v>
      </c>
      <c r="C6" s="346">
        <f>'Historicals &amp; Projections'!D6</f>
        <v>2025</v>
      </c>
      <c r="D6" s="346">
        <f>'Revenue &amp; COGS Building'!O15</f>
        <v>2026</v>
      </c>
      <c r="E6" s="346">
        <f>'Revenue &amp; COGS Building'!P15</f>
        <v>2026</v>
      </c>
      <c r="F6" s="346">
        <f>'Revenue &amp; COGS Building'!Q15</f>
        <v>2026</v>
      </c>
      <c r="G6" s="346">
        <f>'Revenue &amp; COGS Building'!R15</f>
        <v>2026</v>
      </c>
      <c r="H6" s="346">
        <f>'Revenue &amp; COGS Building'!S15</f>
        <v>2026</v>
      </c>
      <c r="I6" s="346">
        <f>'Revenue &amp; COGS Building'!T15</f>
        <v>2026</v>
      </c>
      <c r="J6" s="346">
        <f>'Revenue &amp; COGS Building'!U15</f>
        <v>2026</v>
      </c>
      <c r="K6" s="346">
        <f>'Revenue &amp; COGS Building'!V15</f>
        <v>2026</v>
      </c>
      <c r="L6" s="346">
        <f>'Revenue &amp; COGS Building'!W15</f>
        <v>2026</v>
      </c>
      <c r="M6" s="346">
        <f>'Revenue &amp; COGS Building'!X15</f>
        <v>2026</v>
      </c>
      <c r="N6" s="346">
        <f>'Revenue &amp; COGS Building'!Y15</f>
        <v>2026</v>
      </c>
      <c r="O6" s="346">
        <f>'Revenue &amp; COGS Building'!Z15</f>
        <v>2026</v>
      </c>
      <c r="P6" s="346">
        <f>'Revenue &amp; COGS Building'!AA15</f>
        <v>2027</v>
      </c>
      <c r="Q6" s="346">
        <f>'Revenue &amp; COGS Building'!AB15</f>
        <v>2027</v>
      </c>
      <c r="R6" s="346">
        <f>'Revenue &amp; COGS Building'!AC15</f>
        <v>2027</v>
      </c>
      <c r="S6" s="346">
        <f>'Revenue &amp; COGS Building'!AD15</f>
        <v>2027</v>
      </c>
      <c r="T6" s="346">
        <f>'Revenue &amp; COGS Building'!AE15</f>
        <v>2027</v>
      </c>
      <c r="U6" s="346">
        <f>'Revenue &amp; COGS Building'!AF15</f>
        <v>2027</v>
      </c>
      <c r="V6" s="346">
        <f>'Revenue &amp; COGS Building'!AG15</f>
        <v>2027</v>
      </c>
      <c r="W6" s="346">
        <f>'Revenue &amp; COGS Building'!AH15</f>
        <v>2027</v>
      </c>
      <c r="X6" s="346">
        <f>'Revenue &amp; COGS Building'!AI15</f>
        <v>2027</v>
      </c>
      <c r="Y6" s="346">
        <f>'Revenue &amp; COGS Building'!AJ15</f>
        <v>2027</v>
      </c>
      <c r="Z6" s="346">
        <f>'Revenue &amp; COGS Building'!AK15</f>
        <v>2027</v>
      </c>
      <c r="AA6" s="346">
        <f>'Revenue &amp; COGS Building'!AL15</f>
        <v>2027</v>
      </c>
      <c r="AB6" s="346">
        <f>'Revenue &amp; COGS Building'!AM15</f>
        <v>2028</v>
      </c>
      <c r="AC6" s="346">
        <f>'Revenue &amp; COGS Building'!AN15</f>
        <v>2028</v>
      </c>
      <c r="AD6" s="346">
        <f>'Revenue &amp; COGS Building'!AO15</f>
        <v>2028</v>
      </c>
      <c r="AE6" s="346">
        <f>'Revenue &amp; COGS Building'!AP15</f>
        <v>2028</v>
      </c>
      <c r="AF6" s="346">
        <f>'Revenue &amp; COGS Building'!AQ15</f>
        <v>2028</v>
      </c>
      <c r="AG6" s="346">
        <f>'Revenue &amp; COGS Building'!AR15</f>
        <v>2028</v>
      </c>
      <c r="AH6" s="346">
        <f>'Revenue &amp; COGS Building'!AS15</f>
        <v>2028</v>
      </c>
      <c r="AI6" s="346">
        <f>'Revenue &amp; COGS Building'!AT15</f>
        <v>2028</v>
      </c>
      <c r="AJ6" s="346">
        <f>'Revenue &amp; COGS Building'!AU15</f>
        <v>2028</v>
      </c>
      <c r="AK6" s="346">
        <f>'Revenue &amp; COGS Building'!AV15</f>
        <v>2028</v>
      </c>
      <c r="AL6" s="346">
        <f>'Revenue &amp; COGS Building'!AW15</f>
        <v>2028</v>
      </c>
      <c r="AM6" s="346">
        <f>'Revenue &amp; COGS Building'!AX15</f>
        <v>2028</v>
      </c>
      <c r="AN6" s="138"/>
      <c r="AO6" s="138"/>
    </row>
    <row r="7" spans="1:41" ht="15">
      <c r="A7" s="59"/>
      <c r="B7" s="58"/>
      <c r="C7" s="58"/>
      <c r="D7" s="73"/>
      <c r="E7" s="73"/>
      <c r="F7" s="73"/>
      <c r="G7" s="79"/>
      <c r="H7" s="79"/>
      <c r="I7" s="79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ht="15">
      <c r="A8" s="59"/>
      <c r="B8" s="129" t="s">
        <v>409</v>
      </c>
      <c r="C8" s="130"/>
      <c r="D8" s="454">
        <f>+C32</f>
        <v>250</v>
      </c>
      <c r="E8" s="454">
        <f>+D32</f>
        <v>1000250</v>
      </c>
      <c r="F8" s="454">
        <f t="shared" ref="F8:H9" si="0">+E32</f>
        <v>1000250</v>
      </c>
      <c r="G8" s="454">
        <f t="shared" si="0"/>
        <v>1000250</v>
      </c>
      <c r="H8" s="454">
        <f t="shared" si="0"/>
        <v>500250</v>
      </c>
      <c r="I8" s="454">
        <f t="shared" ref="I8:I9" si="1">+H32</f>
        <v>500250</v>
      </c>
      <c r="J8" s="454">
        <f t="shared" ref="J8:J9" si="2">+I32</f>
        <v>500250</v>
      </c>
      <c r="K8" s="454">
        <f>+J32</f>
        <v>500250</v>
      </c>
      <c r="L8" s="454">
        <f t="shared" ref="L8:L9" si="3">+K32</f>
        <v>500250</v>
      </c>
      <c r="M8" s="454">
        <f t="shared" ref="M8:M9" si="4">+L32</f>
        <v>500250</v>
      </c>
      <c r="N8" s="454">
        <f t="shared" ref="N8:N9" si="5">+M32</f>
        <v>500250</v>
      </c>
      <c r="O8" s="454">
        <f t="shared" ref="O8:O9" si="6">+N32</f>
        <v>500250</v>
      </c>
      <c r="P8" s="454">
        <f t="shared" ref="P8:P9" si="7">+O32</f>
        <v>500250</v>
      </c>
      <c r="Q8" s="454">
        <f t="shared" ref="Q8:Q9" si="8">+P32</f>
        <v>1050250</v>
      </c>
      <c r="R8" s="454">
        <f t="shared" ref="R8:R9" si="9">+Q32</f>
        <v>1050250</v>
      </c>
      <c r="S8" s="454">
        <f t="shared" ref="S8:S9" si="10">+R32</f>
        <v>1050250</v>
      </c>
      <c r="T8" s="454">
        <f t="shared" ref="T8:T9" si="11">+S32</f>
        <v>1050250</v>
      </c>
      <c r="U8" s="454">
        <f t="shared" ref="U8:U9" si="12">+T32</f>
        <v>1050250</v>
      </c>
      <c r="V8" s="454">
        <f t="shared" ref="V8:V9" si="13">+U32</f>
        <v>1050250</v>
      </c>
      <c r="W8" s="454">
        <f t="shared" ref="W8:W9" si="14">+V32</f>
        <v>1050250</v>
      </c>
      <c r="X8" s="454">
        <f t="shared" ref="X8:X9" si="15">+W32</f>
        <v>1050250</v>
      </c>
      <c r="Y8" s="454">
        <f t="shared" ref="Y8:Y9" si="16">+X32</f>
        <v>1050250</v>
      </c>
      <c r="Z8" s="454">
        <f t="shared" ref="Z8:Z9" si="17">+Y32</f>
        <v>1050250</v>
      </c>
      <c r="AA8" s="454">
        <f t="shared" ref="AA8:AA9" si="18">+Z32</f>
        <v>1050250</v>
      </c>
      <c r="AB8" s="454">
        <f t="shared" ref="AB8:AB9" si="19">+AA32</f>
        <v>1050250</v>
      </c>
      <c r="AC8" s="454">
        <f t="shared" ref="AC8:AC9" si="20">+AB32</f>
        <v>1050250</v>
      </c>
      <c r="AD8" s="454">
        <f t="shared" ref="AD8:AD9" si="21">+AC32</f>
        <v>1050250</v>
      </c>
      <c r="AE8" s="454">
        <f t="shared" ref="AE8:AE9" si="22">+AD32</f>
        <v>1050250</v>
      </c>
      <c r="AF8" s="454">
        <f t="shared" ref="AF8:AF9" si="23">+AE32</f>
        <v>1050250</v>
      </c>
      <c r="AG8" s="454">
        <f t="shared" ref="AG8:AG9" si="24">+AF32</f>
        <v>1050250</v>
      </c>
      <c r="AH8" s="454">
        <f t="shared" ref="AH8:AH9" si="25">+AG32</f>
        <v>1050250</v>
      </c>
      <c r="AI8" s="454">
        <f t="shared" ref="AI8:AI9" si="26">+AH32</f>
        <v>1050250</v>
      </c>
      <c r="AJ8" s="454">
        <f t="shared" ref="AJ8:AJ9" si="27">+AI32</f>
        <v>1050250</v>
      </c>
      <c r="AK8" s="454">
        <f t="shared" ref="AK8:AK9" si="28">+AJ32</f>
        <v>1050250</v>
      </c>
      <c r="AL8" s="454">
        <f t="shared" ref="AL8:AL9" si="29">+AK32</f>
        <v>1050250</v>
      </c>
      <c r="AM8" s="454">
        <f t="shared" ref="AM8:AM9" si="30">+AL32</f>
        <v>1050250</v>
      </c>
      <c r="AN8" s="73"/>
      <c r="AO8" s="73"/>
    </row>
    <row r="9" spans="1:41" ht="15">
      <c r="A9" s="59"/>
      <c r="B9" s="129" t="s">
        <v>408</v>
      </c>
      <c r="C9" s="130"/>
      <c r="D9" s="535">
        <f>+C33</f>
        <v>200</v>
      </c>
      <c r="E9" s="535">
        <f>+D33</f>
        <v>200</v>
      </c>
      <c r="F9" s="535">
        <f t="shared" si="0"/>
        <v>200</v>
      </c>
      <c r="G9" s="535">
        <f t="shared" si="0"/>
        <v>200</v>
      </c>
      <c r="H9" s="535">
        <f t="shared" si="0"/>
        <v>200</v>
      </c>
      <c r="I9" s="535">
        <f t="shared" si="1"/>
        <v>200</v>
      </c>
      <c r="J9" s="535">
        <f t="shared" si="2"/>
        <v>200</v>
      </c>
      <c r="K9" s="535">
        <f t="shared" ref="K9" si="31">+J33</f>
        <v>200</v>
      </c>
      <c r="L9" s="535">
        <f t="shared" si="3"/>
        <v>200</v>
      </c>
      <c r="M9" s="535">
        <f t="shared" si="4"/>
        <v>200</v>
      </c>
      <c r="N9" s="535">
        <f t="shared" si="5"/>
        <v>200</v>
      </c>
      <c r="O9" s="535">
        <f t="shared" si="6"/>
        <v>200</v>
      </c>
      <c r="P9" s="535">
        <f t="shared" si="7"/>
        <v>200</v>
      </c>
      <c r="Q9" s="535">
        <f t="shared" si="8"/>
        <v>200</v>
      </c>
      <c r="R9" s="535">
        <f t="shared" si="9"/>
        <v>200</v>
      </c>
      <c r="S9" s="535">
        <f t="shared" si="10"/>
        <v>200</v>
      </c>
      <c r="T9" s="535">
        <f t="shared" si="11"/>
        <v>200</v>
      </c>
      <c r="U9" s="535">
        <f t="shared" si="12"/>
        <v>200</v>
      </c>
      <c r="V9" s="535">
        <f t="shared" si="13"/>
        <v>200</v>
      </c>
      <c r="W9" s="535">
        <f t="shared" si="14"/>
        <v>200</v>
      </c>
      <c r="X9" s="535">
        <f t="shared" si="15"/>
        <v>200</v>
      </c>
      <c r="Y9" s="535">
        <f t="shared" si="16"/>
        <v>200</v>
      </c>
      <c r="Z9" s="535">
        <f t="shared" si="17"/>
        <v>200</v>
      </c>
      <c r="AA9" s="535">
        <f t="shared" si="18"/>
        <v>200</v>
      </c>
      <c r="AB9" s="535">
        <f t="shared" si="19"/>
        <v>200</v>
      </c>
      <c r="AC9" s="535">
        <f t="shared" si="20"/>
        <v>200</v>
      </c>
      <c r="AD9" s="535">
        <f t="shared" si="21"/>
        <v>200</v>
      </c>
      <c r="AE9" s="535">
        <f t="shared" si="22"/>
        <v>200</v>
      </c>
      <c r="AF9" s="535">
        <f t="shared" si="23"/>
        <v>200</v>
      </c>
      <c r="AG9" s="535">
        <f t="shared" si="24"/>
        <v>200</v>
      </c>
      <c r="AH9" s="535">
        <f t="shared" si="25"/>
        <v>200</v>
      </c>
      <c r="AI9" s="535">
        <f t="shared" si="26"/>
        <v>200</v>
      </c>
      <c r="AJ9" s="535">
        <f t="shared" si="27"/>
        <v>200</v>
      </c>
      <c r="AK9" s="535">
        <f t="shared" si="28"/>
        <v>200</v>
      </c>
      <c r="AL9" s="535">
        <f t="shared" si="29"/>
        <v>200</v>
      </c>
      <c r="AM9" s="535">
        <f t="shared" si="30"/>
        <v>200</v>
      </c>
      <c r="AN9" s="73"/>
      <c r="AO9" s="73"/>
    </row>
    <row r="10" spans="1:41" ht="15">
      <c r="A10" s="59"/>
      <c r="B10" s="301" t="s">
        <v>96</v>
      </c>
      <c r="C10" s="301"/>
      <c r="D10" s="488">
        <f>+D8+D9</f>
        <v>450</v>
      </c>
      <c r="E10" s="488">
        <f>+E8+E9</f>
        <v>1000450</v>
      </c>
      <c r="F10" s="488">
        <f>+F8+F9</f>
        <v>1000450</v>
      </c>
      <c r="G10" s="488">
        <f>+G8+G9</f>
        <v>1000450</v>
      </c>
      <c r="H10" s="488">
        <f>+H8+H9</f>
        <v>500450</v>
      </c>
      <c r="I10" s="488">
        <f t="shared" ref="I10:O10" si="32">+I8+I9</f>
        <v>500450</v>
      </c>
      <c r="J10" s="488">
        <f t="shared" si="32"/>
        <v>500450</v>
      </c>
      <c r="K10" s="488">
        <f t="shared" si="32"/>
        <v>500450</v>
      </c>
      <c r="L10" s="488">
        <f t="shared" si="32"/>
        <v>500450</v>
      </c>
      <c r="M10" s="488">
        <f t="shared" si="32"/>
        <v>500450</v>
      </c>
      <c r="N10" s="488">
        <f t="shared" si="32"/>
        <v>500450</v>
      </c>
      <c r="O10" s="488">
        <f t="shared" si="32"/>
        <v>500450</v>
      </c>
      <c r="P10" s="488">
        <f t="shared" ref="P10:AM10" si="33">+P8+P9</f>
        <v>500450</v>
      </c>
      <c r="Q10" s="488">
        <f t="shared" si="33"/>
        <v>1050450</v>
      </c>
      <c r="R10" s="488">
        <f t="shared" si="33"/>
        <v>1050450</v>
      </c>
      <c r="S10" s="488">
        <f t="shared" si="33"/>
        <v>1050450</v>
      </c>
      <c r="T10" s="488">
        <f t="shared" si="33"/>
        <v>1050450</v>
      </c>
      <c r="U10" s="488">
        <f t="shared" si="33"/>
        <v>1050450</v>
      </c>
      <c r="V10" s="488">
        <f t="shared" si="33"/>
        <v>1050450</v>
      </c>
      <c r="W10" s="488">
        <f t="shared" si="33"/>
        <v>1050450</v>
      </c>
      <c r="X10" s="488">
        <f t="shared" si="33"/>
        <v>1050450</v>
      </c>
      <c r="Y10" s="488">
        <f t="shared" si="33"/>
        <v>1050450</v>
      </c>
      <c r="Z10" s="488">
        <f t="shared" si="33"/>
        <v>1050450</v>
      </c>
      <c r="AA10" s="488">
        <f t="shared" si="33"/>
        <v>1050450</v>
      </c>
      <c r="AB10" s="488">
        <f t="shared" si="33"/>
        <v>1050450</v>
      </c>
      <c r="AC10" s="488">
        <f t="shared" si="33"/>
        <v>1050450</v>
      </c>
      <c r="AD10" s="488">
        <f t="shared" si="33"/>
        <v>1050450</v>
      </c>
      <c r="AE10" s="488">
        <f t="shared" si="33"/>
        <v>1050450</v>
      </c>
      <c r="AF10" s="488">
        <f t="shared" si="33"/>
        <v>1050450</v>
      </c>
      <c r="AG10" s="488">
        <f t="shared" si="33"/>
        <v>1050450</v>
      </c>
      <c r="AH10" s="488">
        <f t="shared" si="33"/>
        <v>1050450</v>
      </c>
      <c r="AI10" s="488">
        <f t="shared" si="33"/>
        <v>1050450</v>
      </c>
      <c r="AJ10" s="488">
        <f t="shared" si="33"/>
        <v>1050450</v>
      </c>
      <c r="AK10" s="488">
        <f t="shared" si="33"/>
        <v>1050450</v>
      </c>
      <c r="AL10" s="488">
        <f t="shared" si="33"/>
        <v>1050450</v>
      </c>
      <c r="AM10" s="488">
        <f t="shared" si="33"/>
        <v>1050450</v>
      </c>
      <c r="AN10" s="73"/>
      <c r="AO10" s="73"/>
    </row>
    <row r="11" spans="1:41" ht="15">
      <c r="A11" s="59"/>
      <c r="B11" s="57"/>
      <c r="C11" s="57"/>
      <c r="D11" s="131"/>
      <c r="E11" s="131"/>
      <c r="F11" s="131"/>
      <c r="G11" s="131"/>
      <c r="H11" s="131"/>
      <c r="I11" s="79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</row>
    <row r="12" spans="1:41" ht="15">
      <c r="A12" s="59"/>
      <c r="B12" s="72" t="s">
        <v>411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57"/>
      <c r="AO12" s="57"/>
    </row>
    <row r="13" spans="1:41" ht="15">
      <c r="A13" s="59"/>
      <c r="B13" s="57"/>
      <c r="C13" s="57"/>
      <c r="D13" s="131"/>
      <c r="E13" s="131"/>
      <c r="F13" s="131"/>
      <c r="G13" s="131"/>
      <c r="H13" s="131"/>
      <c r="I13" s="79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</row>
    <row r="14" spans="1:41" ht="15">
      <c r="A14" s="59"/>
      <c r="B14" s="97" t="s">
        <v>240</v>
      </c>
      <c r="C14" s="132"/>
      <c r="D14" s="131"/>
      <c r="E14" s="131"/>
      <c r="F14" s="131"/>
      <c r="G14" s="131"/>
      <c r="H14" s="131"/>
      <c r="I14" s="79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</row>
    <row r="15" spans="1:41" ht="15">
      <c r="A15" s="59"/>
      <c r="B15" s="130" t="s">
        <v>398</v>
      </c>
      <c r="C15" s="130"/>
      <c r="D15" s="457"/>
      <c r="E15" s="457"/>
      <c r="F15" s="457"/>
      <c r="G15" s="457"/>
      <c r="H15" s="457"/>
      <c r="I15" s="457"/>
      <c r="J15" s="457"/>
      <c r="K15" s="457"/>
      <c r="L15" s="457"/>
      <c r="M15" s="457"/>
      <c r="N15" s="457"/>
      <c r="O15" s="457"/>
      <c r="P15" s="457"/>
      <c r="Q15" s="457"/>
      <c r="R15" s="457"/>
      <c r="S15" s="457"/>
      <c r="T15" s="457"/>
      <c r="U15" s="457"/>
      <c r="V15" s="457"/>
      <c r="W15" s="457"/>
      <c r="X15" s="457"/>
      <c r="Y15" s="457"/>
      <c r="Z15" s="457"/>
      <c r="AA15" s="457"/>
      <c r="AB15" s="457"/>
      <c r="AC15" s="457"/>
      <c r="AD15" s="457"/>
      <c r="AE15" s="457"/>
      <c r="AF15" s="457"/>
      <c r="AG15" s="457"/>
      <c r="AH15" s="457"/>
      <c r="AI15" s="457"/>
      <c r="AJ15" s="457"/>
      <c r="AK15" s="457"/>
      <c r="AL15" s="457"/>
      <c r="AM15" s="457"/>
      <c r="AN15" s="73"/>
      <c r="AO15" s="73"/>
    </row>
    <row r="16" spans="1:41" ht="15">
      <c r="A16" s="59"/>
      <c r="B16" s="130" t="s">
        <v>241</v>
      </c>
      <c r="C16" s="130"/>
      <c r="D16" s="457"/>
      <c r="E16" s="457"/>
      <c r="F16" s="457"/>
      <c r="G16" s="457"/>
      <c r="H16" s="457"/>
      <c r="I16" s="457"/>
      <c r="J16" s="457"/>
      <c r="K16" s="457"/>
      <c r="L16" s="457"/>
      <c r="M16" s="457"/>
      <c r="N16" s="457"/>
      <c r="O16" s="457"/>
      <c r="P16" s="457"/>
      <c r="Q16" s="457"/>
      <c r="R16" s="457"/>
      <c r="S16" s="457"/>
      <c r="T16" s="457"/>
      <c r="U16" s="457"/>
      <c r="V16" s="457"/>
      <c r="W16" s="457"/>
      <c r="X16" s="457"/>
      <c r="Y16" s="457"/>
      <c r="Z16" s="457"/>
      <c r="AA16" s="457"/>
      <c r="AB16" s="457"/>
      <c r="AC16" s="457"/>
      <c r="AD16" s="457"/>
      <c r="AE16" s="457"/>
      <c r="AF16" s="457"/>
      <c r="AG16" s="457"/>
      <c r="AH16" s="457"/>
      <c r="AI16" s="457"/>
      <c r="AJ16" s="457"/>
      <c r="AK16" s="457"/>
      <c r="AL16" s="457"/>
      <c r="AM16" s="457"/>
      <c r="AN16" s="73"/>
      <c r="AO16" s="73"/>
    </row>
    <row r="17" spans="1:41" ht="15">
      <c r="A17" s="59"/>
      <c r="B17" s="97" t="s">
        <v>410</v>
      </c>
      <c r="C17" s="132"/>
      <c r="D17" s="58"/>
      <c r="E17" s="58"/>
      <c r="F17" s="58"/>
      <c r="G17" s="58"/>
      <c r="H17" s="58"/>
      <c r="I17" s="79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</row>
    <row r="18" spans="1:41" ht="15">
      <c r="A18" s="59"/>
      <c r="B18" s="130" t="s">
        <v>399</v>
      </c>
      <c r="C18" s="130"/>
      <c r="D18" s="474">
        <f>+D15</f>
        <v>0</v>
      </c>
      <c r="E18" s="474">
        <f>+E15</f>
        <v>0</v>
      </c>
      <c r="F18" s="474">
        <f>+F15</f>
        <v>0</v>
      </c>
      <c r="G18" s="474">
        <f>+G15</f>
        <v>0</v>
      </c>
      <c r="H18" s="474">
        <f>+H15</f>
        <v>0</v>
      </c>
      <c r="I18" s="474">
        <f t="shared" ref="I18:O18" si="34">+I15</f>
        <v>0</v>
      </c>
      <c r="J18" s="474">
        <f t="shared" si="34"/>
        <v>0</v>
      </c>
      <c r="K18" s="474">
        <f t="shared" si="34"/>
        <v>0</v>
      </c>
      <c r="L18" s="474">
        <f t="shared" si="34"/>
        <v>0</v>
      </c>
      <c r="M18" s="474">
        <f t="shared" si="34"/>
        <v>0</v>
      </c>
      <c r="N18" s="474">
        <f t="shared" si="34"/>
        <v>0</v>
      </c>
      <c r="O18" s="474">
        <f t="shared" si="34"/>
        <v>0</v>
      </c>
      <c r="P18" s="474">
        <f t="shared" ref="P18:AM18" si="35">+P15</f>
        <v>0</v>
      </c>
      <c r="Q18" s="474">
        <f t="shared" si="35"/>
        <v>0</v>
      </c>
      <c r="R18" s="474">
        <f t="shared" si="35"/>
        <v>0</v>
      </c>
      <c r="S18" s="474">
        <f t="shared" si="35"/>
        <v>0</v>
      </c>
      <c r="T18" s="474">
        <f t="shared" si="35"/>
        <v>0</v>
      </c>
      <c r="U18" s="474">
        <f t="shared" si="35"/>
        <v>0</v>
      </c>
      <c r="V18" s="474">
        <f t="shared" si="35"/>
        <v>0</v>
      </c>
      <c r="W18" s="474">
        <f t="shared" si="35"/>
        <v>0</v>
      </c>
      <c r="X18" s="474">
        <f t="shared" si="35"/>
        <v>0</v>
      </c>
      <c r="Y18" s="474">
        <f t="shared" si="35"/>
        <v>0</v>
      </c>
      <c r="Z18" s="474">
        <f t="shared" si="35"/>
        <v>0</v>
      </c>
      <c r="AA18" s="474">
        <f t="shared" si="35"/>
        <v>0</v>
      </c>
      <c r="AB18" s="474">
        <f t="shared" si="35"/>
        <v>0</v>
      </c>
      <c r="AC18" s="474">
        <f t="shared" si="35"/>
        <v>0</v>
      </c>
      <c r="AD18" s="474">
        <f t="shared" si="35"/>
        <v>0</v>
      </c>
      <c r="AE18" s="474">
        <f t="shared" si="35"/>
        <v>0</v>
      </c>
      <c r="AF18" s="474">
        <f t="shared" si="35"/>
        <v>0</v>
      </c>
      <c r="AG18" s="474">
        <f t="shared" si="35"/>
        <v>0</v>
      </c>
      <c r="AH18" s="474">
        <f t="shared" si="35"/>
        <v>0</v>
      </c>
      <c r="AI18" s="474">
        <f t="shared" si="35"/>
        <v>0</v>
      </c>
      <c r="AJ18" s="474">
        <f t="shared" si="35"/>
        <v>0</v>
      </c>
      <c r="AK18" s="474">
        <f t="shared" si="35"/>
        <v>0</v>
      </c>
      <c r="AL18" s="474">
        <f t="shared" si="35"/>
        <v>0</v>
      </c>
      <c r="AM18" s="474">
        <f t="shared" si="35"/>
        <v>0</v>
      </c>
      <c r="AN18" s="73"/>
      <c r="AO18" s="73"/>
    </row>
    <row r="19" spans="1:41" ht="15">
      <c r="A19" s="59"/>
      <c r="B19" s="130" t="s">
        <v>241</v>
      </c>
      <c r="C19" s="130"/>
      <c r="D19" s="457"/>
      <c r="E19" s="457"/>
      <c r="F19" s="457"/>
      <c r="G19" s="457"/>
      <c r="H19" s="457"/>
      <c r="I19" s="457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7"/>
      <c r="AA19" s="457"/>
      <c r="AB19" s="457"/>
      <c r="AC19" s="457"/>
      <c r="AD19" s="457"/>
      <c r="AE19" s="457"/>
      <c r="AF19" s="457"/>
      <c r="AG19" s="457"/>
      <c r="AH19" s="457"/>
      <c r="AI19" s="457"/>
      <c r="AJ19" s="457"/>
      <c r="AK19" s="457"/>
      <c r="AL19" s="457"/>
      <c r="AM19" s="457"/>
      <c r="AN19" s="73"/>
      <c r="AO19" s="73"/>
    </row>
    <row r="20" spans="1:41" ht="15">
      <c r="A20" s="59"/>
      <c r="B20" s="57"/>
      <c r="C20" s="57"/>
      <c r="D20" s="131"/>
      <c r="E20" s="131"/>
      <c r="F20" s="131"/>
      <c r="G20" s="131"/>
      <c r="H20" s="131"/>
      <c r="I20" s="79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</row>
    <row r="21" spans="1:41" ht="15">
      <c r="A21" s="59"/>
      <c r="B21" s="72" t="s">
        <v>412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57"/>
      <c r="AO21" s="57"/>
    </row>
    <row r="22" spans="1:41" ht="15">
      <c r="A22" s="59"/>
      <c r="B22" s="57"/>
      <c r="C22" s="57"/>
      <c r="D22" s="131"/>
      <c r="E22" s="131"/>
      <c r="F22" s="131"/>
      <c r="G22" s="131"/>
      <c r="H22" s="131"/>
      <c r="I22" s="79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</row>
    <row r="23" spans="1:41" ht="15">
      <c r="A23" s="59"/>
      <c r="B23" s="97" t="s">
        <v>240</v>
      </c>
      <c r="C23" s="132"/>
      <c r="D23" s="131"/>
      <c r="E23" s="131"/>
      <c r="F23" s="131"/>
      <c r="G23" s="131"/>
      <c r="H23" s="131"/>
      <c r="I23" s="79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</row>
    <row r="24" spans="1:41" ht="15">
      <c r="A24" s="59"/>
      <c r="B24" s="130" t="s">
        <v>242</v>
      </c>
      <c r="C24" s="130"/>
      <c r="D24" s="457">
        <v>1000000</v>
      </c>
      <c r="E24" s="457"/>
      <c r="F24" s="457"/>
      <c r="G24" s="457"/>
      <c r="H24" s="457"/>
      <c r="I24" s="457"/>
      <c r="J24" s="457"/>
      <c r="K24" s="457"/>
      <c r="L24" s="457"/>
      <c r="M24" s="457"/>
      <c r="N24" s="457"/>
      <c r="O24" s="457"/>
      <c r="P24" s="457">
        <v>550000</v>
      </c>
      <c r="Q24" s="457"/>
      <c r="R24" s="457"/>
      <c r="S24" s="457"/>
      <c r="T24" s="457"/>
      <c r="U24" s="457"/>
      <c r="V24" s="457"/>
      <c r="W24" s="457"/>
      <c r="X24" s="457"/>
      <c r="Y24" s="457"/>
      <c r="Z24" s="457"/>
      <c r="AA24" s="457"/>
      <c r="AB24" s="457"/>
      <c r="AC24" s="457"/>
      <c r="AD24" s="457"/>
      <c r="AE24" s="457"/>
      <c r="AF24" s="457"/>
      <c r="AG24" s="457"/>
      <c r="AH24" s="457"/>
      <c r="AI24" s="457"/>
      <c r="AJ24" s="457"/>
      <c r="AK24" s="457"/>
      <c r="AL24" s="457"/>
      <c r="AM24" s="457"/>
      <c r="AN24" s="73"/>
      <c r="AO24" s="73"/>
    </row>
    <row r="25" spans="1:41" ht="15">
      <c r="A25" s="59"/>
      <c r="B25" s="130" t="s">
        <v>398</v>
      </c>
      <c r="C25" s="130"/>
      <c r="D25" s="457"/>
      <c r="E25" s="457"/>
      <c r="F25" s="457"/>
      <c r="G25" s="457"/>
      <c r="H25" s="457"/>
      <c r="I25" s="457"/>
      <c r="J25" s="457"/>
      <c r="K25" s="457"/>
      <c r="L25" s="457"/>
      <c r="M25" s="457"/>
      <c r="N25" s="457"/>
      <c r="O25" s="457"/>
      <c r="P25" s="457"/>
      <c r="Q25" s="457"/>
      <c r="R25" s="457"/>
      <c r="S25" s="457"/>
      <c r="T25" s="457"/>
      <c r="U25" s="457"/>
      <c r="V25" s="457"/>
      <c r="W25" s="457"/>
      <c r="X25" s="457"/>
      <c r="Y25" s="457"/>
      <c r="Z25" s="457"/>
      <c r="AA25" s="457"/>
      <c r="AB25" s="457"/>
      <c r="AC25" s="457"/>
      <c r="AD25" s="457"/>
      <c r="AE25" s="457"/>
      <c r="AF25" s="457"/>
      <c r="AG25" s="457"/>
      <c r="AH25" s="457"/>
      <c r="AI25" s="457"/>
      <c r="AJ25" s="457"/>
      <c r="AK25" s="457"/>
      <c r="AL25" s="457"/>
      <c r="AM25" s="457"/>
      <c r="AN25" s="73"/>
      <c r="AO25" s="73"/>
    </row>
    <row r="26" spans="1:41" ht="15">
      <c r="A26" s="59"/>
      <c r="B26" s="130" t="s">
        <v>241</v>
      </c>
      <c r="C26" s="130"/>
      <c r="D26" s="457"/>
      <c r="E26" s="457"/>
      <c r="F26" s="457"/>
      <c r="G26" s="457">
        <v>500000</v>
      </c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7"/>
      <c r="Y26" s="457"/>
      <c r="Z26" s="457"/>
      <c r="AA26" s="457"/>
      <c r="AB26" s="457"/>
      <c r="AC26" s="457"/>
      <c r="AD26" s="457"/>
      <c r="AE26" s="457"/>
      <c r="AF26" s="457"/>
      <c r="AG26" s="457"/>
      <c r="AH26" s="457"/>
      <c r="AI26" s="457"/>
      <c r="AJ26" s="457"/>
      <c r="AK26" s="457"/>
      <c r="AL26" s="457"/>
      <c r="AM26" s="457"/>
      <c r="AN26" s="73"/>
      <c r="AO26" s="73"/>
    </row>
    <row r="27" spans="1:41" ht="15">
      <c r="A27" s="59"/>
      <c r="B27" s="97" t="s">
        <v>410</v>
      </c>
      <c r="C27" s="132"/>
      <c r="D27" s="58"/>
      <c r="E27" s="58"/>
      <c r="F27" s="58"/>
      <c r="G27" s="58"/>
      <c r="H27" s="58"/>
      <c r="I27" s="79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</row>
    <row r="28" spans="1:41" ht="15">
      <c r="A28" s="59"/>
      <c r="B28" s="130" t="s">
        <v>242</v>
      </c>
      <c r="C28" s="130"/>
      <c r="D28" s="457"/>
      <c r="E28" s="457"/>
      <c r="F28" s="457"/>
      <c r="G28" s="457"/>
      <c r="H28" s="457"/>
      <c r="I28" s="457"/>
      <c r="J28" s="457"/>
      <c r="K28" s="457"/>
      <c r="L28" s="457"/>
      <c r="M28" s="457"/>
      <c r="N28" s="457"/>
      <c r="O28" s="457"/>
      <c r="P28" s="457"/>
      <c r="Q28" s="457"/>
      <c r="R28" s="457"/>
      <c r="S28" s="457"/>
      <c r="T28" s="457"/>
      <c r="U28" s="457"/>
      <c r="V28" s="457"/>
      <c r="W28" s="457"/>
      <c r="X28" s="457"/>
      <c r="Y28" s="457"/>
      <c r="Z28" s="457"/>
      <c r="AA28" s="457"/>
      <c r="AB28" s="457"/>
      <c r="AC28" s="457"/>
      <c r="AD28" s="457"/>
      <c r="AE28" s="457"/>
      <c r="AF28" s="457"/>
      <c r="AG28" s="457"/>
      <c r="AH28" s="457"/>
      <c r="AI28" s="457"/>
      <c r="AJ28" s="457"/>
      <c r="AK28" s="457"/>
      <c r="AL28" s="457"/>
      <c r="AM28" s="457"/>
      <c r="AN28" s="73"/>
      <c r="AO28" s="73"/>
    </row>
    <row r="29" spans="1:41" ht="15">
      <c r="A29" s="59"/>
      <c r="B29" s="130" t="s">
        <v>399</v>
      </c>
      <c r="C29" s="130"/>
      <c r="D29" s="474">
        <f>+D25</f>
        <v>0</v>
      </c>
      <c r="E29" s="474">
        <f>+E25</f>
        <v>0</v>
      </c>
      <c r="F29" s="474">
        <f>+F25</f>
        <v>0</v>
      </c>
      <c r="G29" s="474">
        <f>+G25</f>
        <v>0</v>
      </c>
      <c r="H29" s="474">
        <f>+H25</f>
        <v>0</v>
      </c>
      <c r="I29" s="474">
        <f t="shared" ref="I29:O29" si="36">+I25</f>
        <v>0</v>
      </c>
      <c r="J29" s="474">
        <f t="shared" si="36"/>
        <v>0</v>
      </c>
      <c r="K29" s="474">
        <f t="shared" si="36"/>
        <v>0</v>
      </c>
      <c r="L29" s="474">
        <f t="shared" si="36"/>
        <v>0</v>
      </c>
      <c r="M29" s="474">
        <f t="shared" si="36"/>
        <v>0</v>
      </c>
      <c r="N29" s="474">
        <f t="shared" si="36"/>
        <v>0</v>
      </c>
      <c r="O29" s="474">
        <f t="shared" si="36"/>
        <v>0</v>
      </c>
      <c r="P29" s="474">
        <f t="shared" ref="P29:AM29" si="37">+P25</f>
        <v>0</v>
      </c>
      <c r="Q29" s="474">
        <f t="shared" si="37"/>
        <v>0</v>
      </c>
      <c r="R29" s="474">
        <f t="shared" si="37"/>
        <v>0</v>
      </c>
      <c r="S29" s="474">
        <f t="shared" si="37"/>
        <v>0</v>
      </c>
      <c r="T29" s="474">
        <f t="shared" si="37"/>
        <v>0</v>
      </c>
      <c r="U29" s="474">
        <f t="shared" si="37"/>
        <v>0</v>
      </c>
      <c r="V29" s="474">
        <f t="shared" si="37"/>
        <v>0</v>
      </c>
      <c r="W29" s="474">
        <f t="shared" si="37"/>
        <v>0</v>
      </c>
      <c r="X29" s="474">
        <f t="shared" si="37"/>
        <v>0</v>
      </c>
      <c r="Y29" s="474">
        <f t="shared" si="37"/>
        <v>0</v>
      </c>
      <c r="Z29" s="474">
        <f t="shared" si="37"/>
        <v>0</v>
      </c>
      <c r="AA29" s="474">
        <f t="shared" si="37"/>
        <v>0</v>
      </c>
      <c r="AB29" s="474">
        <f t="shared" si="37"/>
        <v>0</v>
      </c>
      <c r="AC29" s="474">
        <f t="shared" si="37"/>
        <v>0</v>
      </c>
      <c r="AD29" s="474">
        <f t="shared" si="37"/>
        <v>0</v>
      </c>
      <c r="AE29" s="474">
        <f t="shared" si="37"/>
        <v>0</v>
      </c>
      <c r="AF29" s="474">
        <f t="shared" si="37"/>
        <v>0</v>
      </c>
      <c r="AG29" s="474">
        <f t="shared" si="37"/>
        <v>0</v>
      </c>
      <c r="AH29" s="474">
        <f t="shared" si="37"/>
        <v>0</v>
      </c>
      <c r="AI29" s="474">
        <f t="shared" si="37"/>
        <v>0</v>
      </c>
      <c r="AJ29" s="474">
        <f t="shared" si="37"/>
        <v>0</v>
      </c>
      <c r="AK29" s="474">
        <f t="shared" si="37"/>
        <v>0</v>
      </c>
      <c r="AL29" s="474">
        <f t="shared" si="37"/>
        <v>0</v>
      </c>
      <c r="AM29" s="474">
        <f t="shared" si="37"/>
        <v>0</v>
      </c>
      <c r="AN29" s="73"/>
      <c r="AO29" s="73"/>
    </row>
    <row r="30" spans="1:41" ht="15">
      <c r="A30" s="59"/>
      <c r="B30" s="130" t="s">
        <v>241</v>
      </c>
      <c r="C30" s="130"/>
      <c r="D30" s="457"/>
      <c r="E30" s="457"/>
      <c r="F30" s="457"/>
      <c r="G30" s="457"/>
      <c r="H30" s="457"/>
      <c r="I30" s="457"/>
      <c r="J30" s="45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  <c r="AK30" s="457"/>
      <c r="AL30" s="457"/>
      <c r="AM30" s="457"/>
      <c r="AN30" s="73"/>
      <c r="AO30" s="73"/>
    </row>
    <row r="31" spans="1:41" ht="15">
      <c r="A31" s="59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</row>
    <row r="32" spans="1:41" ht="15">
      <c r="A32" s="59"/>
      <c r="B32" s="129" t="s">
        <v>409</v>
      </c>
      <c r="C32" s="457">
        <v>250</v>
      </c>
      <c r="D32" s="454">
        <f>+D8-D25-D26+D24-D16-D15</f>
        <v>1000250</v>
      </c>
      <c r="E32" s="454">
        <f>+E8-E25-E26+E24-E16-E15</f>
        <v>1000250</v>
      </c>
      <c r="F32" s="454">
        <f>+F8-F25-F26+F24-F16-F15</f>
        <v>1000250</v>
      </c>
      <c r="G32" s="454">
        <f>+G8-G25-G26+G24-G16-G15</f>
        <v>500250</v>
      </c>
      <c r="H32" s="454">
        <f>+H8-H25-H26+H24-H16-H15</f>
        <v>500250</v>
      </c>
      <c r="I32" s="454">
        <f t="shared" ref="I32:O32" si="38">+I8-I25-I26+I24-I16-I15</f>
        <v>500250</v>
      </c>
      <c r="J32" s="454">
        <f t="shared" si="38"/>
        <v>500250</v>
      </c>
      <c r="K32" s="454">
        <f t="shared" si="38"/>
        <v>500250</v>
      </c>
      <c r="L32" s="454">
        <f t="shared" si="38"/>
        <v>500250</v>
      </c>
      <c r="M32" s="454">
        <f t="shared" si="38"/>
        <v>500250</v>
      </c>
      <c r="N32" s="454">
        <f t="shared" si="38"/>
        <v>500250</v>
      </c>
      <c r="O32" s="454">
        <f t="shared" si="38"/>
        <v>500250</v>
      </c>
      <c r="P32" s="454">
        <f t="shared" ref="P32:AM32" si="39">+P8-P25-P26+P24-P16-P15</f>
        <v>1050250</v>
      </c>
      <c r="Q32" s="454">
        <f t="shared" si="39"/>
        <v>1050250</v>
      </c>
      <c r="R32" s="454">
        <f t="shared" si="39"/>
        <v>1050250</v>
      </c>
      <c r="S32" s="454">
        <f t="shared" si="39"/>
        <v>1050250</v>
      </c>
      <c r="T32" s="454">
        <f t="shared" si="39"/>
        <v>1050250</v>
      </c>
      <c r="U32" s="454">
        <f t="shared" si="39"/>
        <v>1050250</v>
      </c>
      <c r="V32" s="454">
        <f t="shared" si="39"/>
        <v>1050250</v>
      </c>
      <c r="W32" s="454">
        <f t="shared" si="39"/>
        <v>1050250</v>
      </c>
      <c r="X32" s="454">
        <f t="shared" si="39"/>
        <v>1050250</v>
      </c>
      <c r="Y32" s="454">
        <f t="shared" si="39"/>
        <v>1050250</v>
      </c>
      <c r="Z32" s="454">
        <f t="shared" si="39"/>
        <v>1050250</v>
      </c>
      <c r="AA32" s="454">
        <f t="shared" si="39"/>
        <v>1050250</v>
      </c>
      <c r="AB32" s="454">
        <f t="shared" si="39"/>
        <v>1050250</v>
      </c>
      <c r="AC32" s="454">
        <f t="shared" si="39"/>
        <v>1050250</v>
      </c>
      <c r="AD32" s="454">
        <f t="shared" si="39"/>
        <v>1050250</v>
      </c>
      <c r="AE32" s="454">
        <f t="shared" si="39"/>
        <v>1050250</v>
      </c>
      <c r="AF32" s="454">
        <f t="shared" si="39"/>
        <v>1050250</v>
      </c>
      <c r="AG32" s="454">
        <f t="shared" si="39"/>
        <v>1050250</v>
      </c>
      <c r="AH32" s="454">
        <f t="shared" si="39"/>
        <v>1050250</v>
      </c>
      <c r="AI32" s="454">
        <f t="shared" si="39"/>
        <v>1050250</v>
      </c>
      <c r="AJ32" s="454">
        <f t="shared" si="39"/>
        <v>1050250</v>
      </c>
      <c r="AK32" s="454">
        <f t="shared" si="39"/>
        <v>1050250</v>
      </c>
      <c r="AL32" s="454">
        <f t="shared" si="39"/>
        <v>1050250</v>
      </c>
      <c r="AM32" s="454">
        <f t="shared" si="39"/>
        <v>1050250</v>
      </c>
      <c r="AN32" s="73"/>
      <c r="AO32" s="73"/>
    </row>
    <row r="33" spans="1:41" ht="15">
      <c r="A33" s="59"/>
      <c r="B33" s="129" t="s">
        <v>408</v>
      </c>
      <c r="C33" s="457">
        <v>200</v>
      </c>
      <c r="D33" s="535">
        <f>+D9-D30+D29+D28+D18-D19</f>
        <v>200</v>
      </c>
      <c r="E33" s="535">
        <f>+E9-E30+E29+E28+E18-E19</f>
        <v>200</v>
      </c>
      <c r="F33" s="535">
        <f>+F9-F30+F29+F28+F18-F19</f>
        <v>200</v>
      </c>
      <c r="G33" s="535">
        <f>+G9-G30+G29+G28+G18-G19</f>
        <v>200</v>
      </c>
      <c r="H33" s="535">
        <f>+H9-H30+H29+H28+H18-H19</f>
        <v>200</v>
      </c>
      <c r="I33" s="535">
        <f t="shared" ref="I33:O33" si="40">+I9-I30+I29+I28+I18-I19</f>
        <v>200</v>
      </c>
      <c r="J33" s="535">
        <f t="shared" si="40"/>
        <v>200</v>
      </c>
      <c r="K33" s="535">
        <f t="shared" si="40"/>
        <v>200</v>
      </c>
      <c r="L33" s="535">
        <f t="shared" si="40"/>
        <v>200</v>
      </c>
      <c r="M33" s="535">
        <f t="shared" si="40"/>
        <v>200</v>
      </c>
      <c r="N33" s="535">
        <f t="shared" si="40"/>
        <v>200</v>
      </c>
      <c r="O33" s="535">
        <f t="shared" si="40"/>
        <v>200</v>
      </c>
      <c r="P33" s="535">
        <f t="shared" ref="P33:AM33" si="41">+P9-P30+P29+P28+P18-P19</f>
        <v>200</v>
      </c>
      <c r="Q33" s="535">
        <f t="shared" si="41"/>
        <v>200</v>
      </c>
      <c r="R33" s="535">
        <f t="shared" si="41"/>
        <v>200</v>
      </c>
      <c r="S33" s="535">
        <f t="shared" si="41"/>
        <v>200</v>
      </c>
      <c r="T33" s="535">
        <f t="shared" si="41"/>
        <v>200</v>
      </c>
      <c r="U33" s="535">
        <f t="shared" si="41"/>
        <v>200</v>
      </c>
      <c r="V33" s="535">
        <f t="shared" si="41"/>
        <v>200</v>
      </c>
      <c r="W33" s="535">
        <f t="shared" si="41"/>
        <v>200</v>
      </c>
      <c r="X33" s="535">
        <f t="shared" si="41"/>
        <v>200</v>
      </c>
      <c r="Y33" s="535">
        <f t="shared" si="41"/>
        <v>200</v>
      </c>
      <c r="Z33" s="535">
        <f t="shared" si="41"/>
        <v>200</v>
      </c>
      <c r="AA33" s="535">
        <f t="shared" si="41"/>
        <v>200</v>
      </c>
      <c r="AB33" s="535">
        <f t="shared" si="41"/>
        <v>200</v>
      </c>
      <c r="AC33" s="535">
        <f t="shared" si="41"/>
        <v>200</v>
      </c>
      <c r="AD33" s="535">
        <f t="shared" si="41"/>
        <v>200</v>
      </c>
      <c r="AE33" s="535">
        <f t="shared" si="41"/>
        <v>200</v>
      </c>
      <c r="AF33" s="535">
        <f t="shared" si="41"/>
        <v>200</v>
      </c>
      <c r="AG33" s="535">
        <f t="shared" si="41"/>
        <v>200</v>
      </c>
      <c r="AH33" s="535">
        <f t="shared" si="41"/>
        <v>200</v>
      </c>
      <c r="AI33" s="535">
        <f t="shared" si="41"/>
        <v>200</v>
      </c>
      <c r="AJ33" s="535">
        <f t="shared" si="41"/>
        <v>200</v>
      </c>
      <c r="AK33" s="535">
        <f t="shared" si="41"/>
        <v>200</v>
      </c>
      <c r="AL33" s="535">
        <f t="shared" si="41"/>
        <v>200</v>
      </c>
      <c r="AM33" s="535">
        <f t="shared" si="41"/>
        <v>200</v>
      </c>
      <c r="AN33" s="73"/>
      <c r="AO33" s="73"/>
    </row>
    <row r="34" spans="1:41" ht="15">
      <c r="A34" s="59"/>
      <c r="B34" s="301" t="s">
        <v>413</v>
      </c>
      <c r="C34" s="301">
        <f t="shared" ref="C34:O34" si="42">+C32+C33</f>
        <v>450</v>
      </c>
      <c r="D34" s="488">
        <f>+D32+D33</f>
        <v>1000450</v>
      </c>
      <c r="E34" s="488">
        <f t="shared" si="42"/>
        <v>1000450</v>
      </c>
      <c r="F34" s="488">
        <f t="shared" si="42"/>
        <v>1000450</v>
      </c>
      <c r="G34" s="488">
        <f>+G32+G33</f>
        <v>500450</v>
      </c>
      <c r="H34" s="488">
        <f t="shared" si="42"/>
        <v>500450</v>
      </c>
      <c r="I34" s="488">
        <f t="shared" si="42"/>
        <v>500450</v>
      </c>
      <c r="J34" s="488">
        <f t="shared" si="42"/>
        <v>500450</v>
      </c>
      <c r="K34" s="488">
        <f t="shared" si="42"/>
        <v>500450</v>
      </c>
      <c r="L34" s="488">
        <f t="shared" si="42"/>
        <v>500450</v>
      </c>
      <c r="M34" s="488">
        <f t="shared" si="42"/>
        <v>500450</v>
      </c>
      <c r="N34" s="488">
        <f t="shared" si="42"/>
        <v>500450</v>
      </c>
      <c r="O34" s="488">
        <f t="shared" si="42"/>
        <v>500450</v>
      </c>
      <c r="P34" s="488">
        <f t="shared" ref="P34:AM34" si="43">+P32+P33</f>
        <v>1050450</v>
      </c>
      <c r="Q34" s="488">
        <f t="shared" si="43"/>
        <v>1050450</v>
      </c>
      <c r="R34" s="488">
        <f t="shared" si="43"/>
        <v>1050450</v>
      </c>
      <c r="S34" s="488">
        <f t="shared" si="43"/>
        <v>1050450</v>
      </c>
      <c r="T34" s="488">
        <f t="shared" si="43"/>
        <v>1050450</v>
      </c>
      <c r="U34" s="488">
        <f t="shared" si="43"/>
        <v>1050450</v>
      </c>
      <c r="V34" s="488">
        <f t="shared" si="43"/>
        <v>1050450</v>
      </c>
      <c r="W34" s="488">
        <f t="shared" si="43"/>
        <v>1050450</v>
      </c>
      <c r="X34" s="488">
        <f t="shared" si="43"/>
        <v>1050450</v>
      </c>
      <c r="Y34" s="488">
        <f t="shared" si="43"/>
        <v>1050450</v>
      </c>
      <c r="Z34" s="488">
        <f t="shared" si="43"/>
        <v>1050450</v>
      </c>
      <c r="AA34" s="488">
        <f t="shared" si="43"/>
        <v>1050450</v>
      </c>
      <c r="AB34" s="488">
        <f t="shared" si="43"/>
        <v>1050450</v>
      </c>
      <c r="AC34" s="488">
        <f t="shared" si="43"/>
        <v>1050450</v>
      </c>
      <c r="AD34" s="488">
        <f t="shared" si="43"/>
        <v>1050450</v>
      </c>
      <c r="AE34" s="488">
        <f t="shared" si="43"/>
        <v>1050450</v>
      </c>
      <c r="AF34" s="488">
        <f t="shared" si="43"/>
        <v>1050450</v>
      </c>
      <c r="AG34" s="488">
        <f t="shared" si="43"/>
        <v>1050450</v>
      </c>
      <c r="AH34" s="488">
        <f t="shared" si="43"/>
        <v>1050450</v>
      </c>
      <c r="AI34" s="488">
        <f t="shared" si="43"/>
        <v>1050450</v>
      </c>
      <c r="AJ34" s="488">
        <f t="shared" si="43"/>
        <v>1050450</v>
      </c>
      <c r="AK34" s="488">
        <f t="shared" si="43"/>
        <v>1050450</v>
      </c>
      <c r="AL34" s="488">
        <f t="shared" si="43"/>
        <v>1050450</v>
      </c>
      <c r="AM34" s="488">
        <f t="shared" si="43"/>
        <v>1050450</v>
      </c>
      <c r="AN34" s="73"/>
      <c r="AO34" s="73"/>
    </row>
    <row r="35" spans="1:41" ht="15">
      <c r="A35" s="59"/>
      <c r="B35" s="58"/>
      <c r="C35" s="58"/>
      <c r="D35" s="73"/>
      <c r="E35" s="73"/>
      <c r="F35" s="73"/>
      <c r="G35" s="79"/>
      <c r="H35" s="79"/>
      <c r="I35" s="79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</row>
    <row r="36" spans="1:41" ht="15">
      <c r="A36" s="59"/>
      <c r="B36" s="133" t="s">
        <v>325</v>
      </c>
      <c r="C36" s="133"/>
      <c r="D36" s="134">
        <f>+D34-D10</f>
        <v>1000000</v>
      </c>
      <c r="E36" s="134">
        <f>+E34-E10</f>
        <v>0</v>
      </c>
      <c r="F36" s="134">
        <f>+F34-F10</f>
        <v>0</v>
      </c>
      <c r="G36" s="134">
        <f>+G34-G10</f>
        <v>-500000</v>
      </c>
      <c r="H36" s="134">
        <f>+H34-H10</f>
        <v>0</v>
      </c>
      <c r="I36" s="134">
        <f t="shared" ref="I36:O36" si="44">+I34-I10</f>
        <v>0</v>
      </c>
      <c r="J36" s="134">
        <f t="shared" si="44"/>
        <v>0</v>
      </c>
      <c r="K36" s="134">
        <f t="shared" si="44"/>
        <v>0</v>
      </c>
      <c r="L36" s="134">
        <f t="shared" si="44"/>
        <v>0</v>
      </c>
      <c r="M36" s="134">
        <f t="shared" si="44"/>
        <v>0</v>
      </c>
      <c r="N36" s="134">
        <f t="shared" si="44"/>
        <v>0</v>
      </c>
      <c r="O36" s="134">
        <f t="shared" si="44"/>
        <v>0</v>
      </c>
      <c r="P36" s="134">
        <f>+P34-P10</f>
        <v>550000</v>
      </c>
      <c r="Q36" s="134">
        <f t="shared" ref="Q36:AM36" si="45">+Q34-Q10</f>
        <v>0</v>
      </c>
      <c r="R36" s="134">
        <f t="shared" si="45"/>
        <v>0</v>
      </c>
      <c r="S36" s="134">
        <f t="shared" si="45"/>
        <v>0</v>
      </c>
      <c r="T36" s="134">
        <f t="shared" si="45"/>
        <v>0</v>
      </c>
      <c r="U36" s="134">
        <f t="shared" si="45"/>
        <v>0</v>
      </c>
      <c r="V36" s="134">
        <f t="shared" si="45"/>
        <v>0</v>
      </c>
      <c r="W36" s="134">
        <f t="shared" si="45"/>
        <v>0</v>
      </c>
      <c r="X36" s="134">
        <f t="shared" si="45"/>
        <v>0</v>
      </c>
      <c r="Y36" s="134">
        <f t="shared" si="45"/>
        <v>0</v>
      </c>
      <c r="Z36" s="134">
        <f t="shared" si="45"/>
        <v>0</v>
      </c>
      <c r="AA36" s="134">
        <f t="shared" si="45"/>
        <v>0</v>
      </c>
      <c r="AB36" s="134">
        <f t="shared" si="45"/>
        <v>0</v>
      </c>
      <c r="AC36" s="134">
        <f t="shared" si="45"/>
        <v>0</v>
      </c>
      <c r="AD36" s="134">
        <f t="shared" si="45"/>
        <v>0</v>
      </c>
      <c r="AE36" s="134">
        <f t="shared" si="45"/>
        <v>0</v>
      </c>
      <c r="AF36" s="134">
        <f t="shared" si="45"/>
        <v>0</v>
      </c>
      <c r="AG36" s="134">
        <f t="shared" si="45"/>
        <v>0</v>
      </c>
      <c r="AH36" s="134">
        <f t="shared" si="45"/>
        <v>0</v>
      </c>
      <c r="AI36" s="134">
        <f t="shared" si="45"/>
        <v>0</v>
      </c>
      <c r="AJ36" s="134">
        <f t="shared" si="45"/>
        <v>0</v>
      </c>
      <c r="AK36" s="134">
        <f t="shared" si="45"/>
        <v>0</v>
      </c>
      <c r="AL36" s="134">
        <f t="shared" si="45"/>
        <v>0</v>
      </c>
      <c r="AM36" s="134">
        <f t="shared" si="45"/>
        <v>0</v>
      </c>
      <c r="AN36" s="134"/>
      <c r="AO36" s="134"/>
    </row>
    <row r="37" spans="1:41" ht="15">
      <c r="A37" s="59"/>
      <c r="B37" s="66" t="s">
        <v>21</v>
      </c>
      <c r="C37" s="135">
        <f>+C34-'Historicals &amp; Projections'!D22-'Historicals &amp; Projections'!D26</f>
        <v>0</v>
      </c>
      <c r="D37" s="79"/>
      <c r="E37" s="79"/>
      <c r="F37" s="79"/>
      <c r="G37" s="79"/>
      <c r="H37" s="79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</row>
    <row r="38" spans="1:41" ht="15">
      <c r="A38" s="59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</row>
    <row r="39" spans="1:41" ht="16" thickBot="1">
      <c r="A39" s="59"/>
      <c r="B39" s="341" t="s">
        <v>306</v>
      </c>
      <c r="C39" s="341"/>
      <c r="D39" s="362">
        <f>D6</f>
        <v>2026</v>
      </c>
      <c r="E39" s="362">
        <f t="shared" ref="E39:AM39" si="46">E6</f>
        <v>2026</v>
      </c>
      <c r="F39" s="362">
        <f t="shared" si="46"/>
        <v>2026</v>
      </c>
      <c r="G39" s="362">
        <f t="shared" si="46"/>
        <v>2026</v>
      </c>
      <c r="H39" s="362">
        <f t="shared" si="46"/>
        <v>2026</v>
      </c>
      <c r="I39" s="362">
        <f t="shared" si="46"/>
        <v>2026</v>
      </c>
      <c r="J39" s="362">
        <f t="shared" si="46"/>
        <v>2026</v>
      </c>
      <c r="K39" s="362">
        <f t="shared" si="46"/>
        <v>2026</v>
      </c>
      <c r="L39" s="362">
        <f t="shared" si="46"/>
        <v>2026</v>
      </c>
      <c r="M39" s="362">
        <f t="shared" si="46"/>
        <v>2026</v>
      </c>
      <c r="N39" s="362">
        <f t="shared" si="46"/>
        <v>2026</v>
      </c>
      <c r="O39" s="362">
        <f t="shared" si="46"/>
        <v>2026</v>
      </c>
      <c r="P39" s="362">
        <f t="shared" si="46"/>
        <v>2027</v>
      </c>
      <c r="Q39" s="362">
        <f t="shared" si="46"/>
        <v>2027</v>
      </c>
      <c r="R39" s="362">
        <f t="shared" si="46"/>
        <v>2027</v>
      </c>
      <c r="S39" s="362">
        <f t="shared" si="46"/>
        <v>2027</v>
      </c>
      <c r="T39" s="362">
        <f t="shared" si="46"/>
        <v>2027</v>
      </c>
      <c r="U39" s="362">
        <f t="shared" si="46"/>
        <v>2027</v>
      </c>
      <c r="V39" s="362">
        <f t="shared" si="46"/>
        <v>2027</v>
      </c>
      <c r="W39" s="362">
        <f t="shared" si="46"/>
        <v>2027</v>
      </c>
      <c r="X39" s="362">
        <f t="shared" si="46"/>
        <v>2027</v>
      </c>
      <c r="Y39" s="362">
        <f t="shared" si="46"/>
        <v>2027</v>
      </c>
      <c r="Z39" s="362">
        <f t="shared" si="46"/>
        <v>2027</v>
      </c>
      <c r="AA39" s="362">
        <f t="shared" si="46"/>
        <v>2027</v>
      </c>
      <c r="AB39" s="362">
        <f t="shared" si="46"/>
        <v>2028</v>
      </c>
      <c r="AC39" s="362">
        <f t="shared" si="46"/>
        <v>2028</v>
      </c>
      <c r="AD39" s="362">
        <f t="shared" si="46"/>
        <v>2028</v>
      </c>
      <c r="AE39" s="362">
        <f t="shared" si="46"/>
        <v>2028</v>
      </c>
      <c r="AF39" s="362">
        <f t="shared" si="46"/>
        <v>2028</v>
      </c>
      <c r="AG39" s="362">
        <f t="shared" si="46"/>
        <v>2028</v>
      </c>
      <c r="AH39" s="362">
        <f t="shared" si="46"/>
        <v>2028</v>
      </c>
      <c r="AI39" s="362">
        <f t="shared" si="46"/>
        <v>2028</v>
      </c>
      <c r="AJ39" s="362">
        <f t="shared" si="46"/>
        <v>2028</v>
      </c>
      <c r="AK39" s="362">
        <f t="shared" si="46"/>
        <v>2028</v>
      </c>
      <c r="AL39" s="362">
        <f t="shared" si="46"/>
        <v>2028</v>
      </c>
      <c r="AM39" s="362">
        <f t="shared" si="46"/>
        <v>2028</v>
      </c>
      <c r="AN39" s="437"/>
      <c r="AO39" s="437"/>
    </row>
    <row r="40" spans="1:41" ht="15">
      <c r="A40" s="59"/>
      <c r="B40" s="58"/>
      <c r="C40" s="58"/>
      <c r="D40" s="79"/>
      <c r="E40" s="79"/>
      <c r="F40" s="79"/>
      <c r="G40" s="79"/>
      <c r="H40" s="79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</row>
    <row r="41" spans="1:41" ht="15">
      <c r="A41" s="59"/>
      <c r="B41" s="72" t="s">
        <v>96</v>
      </c>
      <c r="C41" s="72"/>
      <c r="D41" s="489">
        <f>+'Historicals &amp; Projections'!D27</f>
        <v>270</v>
      </c>
      <c r="E41" s="489">
        <f>+D46</f>
        <v>270</v>
      </c>
      <c r="F41" s="489">
        <f>+E46</f>
        <v>270</v>
      </c>
      <c r="G41" s="489">
        <f>+F46</f>
        <v>270</v>
      </c>
      <c r="H41" s="489">
        <f>+G46</f>
        <v>270</v>
      </c>
      <c r="I41" s="489">
        <f t="shared" ref="I41:O41" si="47">+H46</f>
        <v>270</v>
      </c>
      <c r="J41" s="489">
        <f t="shared" si="47"/>
        <v>270</v>
      </c>
      <c r="K41" s="489">
        <f t="shared" si="47"/>
        <v>270</v>
      </c>
      <c r="L41" s="489">
        <f t="shared" si="47"/>
        <v>270</v>
      </c>
      <c r="M41" s="489">
        <f t="shared" si="47"/>
        <v>270</v>
      </c>
      <c r="N41" s="489">
        <f t="shared" si="47"/>
        <v>270</v>
      </c>
      <c r="O41" s="489">
        <f t="shared" si="47"/>
        <v>270</v>
      </c>
      <c r="P41" s="489">
        <f t="shared" ref="P41" si="48">+O46</f>
        <v>270</v>
      </c>
      <c r="Q41" s="489">
        <f t="shared" ref="Q41" si="49">+P46</f>
        <v>270</v>
      </c>
      <c r="R41" s="489">
        <f t="shared" ref="R41" si="50">+Q46</f>
        <v>270</v>
      </c>
      <c r="S41" s="489">
        <f t="shared" ref="S41" si="51">+R46</f>
        <v>270</v>
      </c>
      <c r="T41" s="489">
        <f t="shared" ref="T41" si="52">+S46</f>
        <v>270</v>
      </c>
      <c r="U41" s="489">
        <f t="shared" ref="U41" si="53">+T46</f>
        <v>270</v>
      </c>
      <c r="V41" s="489">
        <f t="shared" ref="V41" si="54">+U46</f>
        <v>270</v>
      </c>
      <c r="W41" s="489">
        <f t="shared" ref="W41" si="55">+V46</f>
        <v>270</v>
      </c>
      <c r="X41" s="489">
        <f t="shared" ref="X41" si="56">+W46</f>
        <v>270</v>
      </c>
      <c r="Y41" s="489">
        <f t="shared" ref="Y41" si="57">+X46</f>
        <v>270</v>
      </c>
      <c r="Z41" s="489">
        <f t="shared" ref="Z41" si="58">+Y46</f>
        <v>270</v>
      </c>
      <c r="AA41" s="489">
        <f t="shared" ref="AA41" si="59">+Z46</f>
        <v>270</v>
      </c>
      <c r="AB41" s="489">
        <f t="shared" ref="AB41" si="60">+AA46</f>
        <v>270</v>
      </c>
      <c r="AC41" s="489">
        <f t="shared" ref="AC41" si="61">+AB46</f>
        <v>270</v>
      </c>
      <c r="AD41" s="489">
        <f t="shared" ref="AD41" si="62">+AC46</f>
        <v>270</v>
      </c>
      <c r="AE41" s="489">
        <f t="shared" ref="AE41" si="63">+AD46</f>
        <v>270</v>
      </c>
      <c r="AF41" s="489">
        <f t="shared" ref="AF41" si="64">+AE46</f>
        <v>270</v>
      </c>
      <c r="AG41" s="489">
        <f t="shared" ref="AG41" si="65">+AF46</f>
        <v>270</v>
      </c>
      <c r="AH41" s="489">
        <f t="shared" ref="AH41" si="66">+AG46</f>
        <v>270</v>
      </c>
      <c r="AI41" s="489">
        <f t="shared" ref="AI41" si="67">+AH46</f>
        <v>270</v>
      </c>
      <c r="AJ41" s="489">
        <f t="shared" ref="AJ41" si="68">+AI46</f>
        <v>270</v>
      </c>
      <c r="AK41" s="489">
        <f t="shared" ref="AK41" si="69">+AJ46</f>
        <v>270</v>
      </c>
      <c r="AL41" s="489">
        <f t="shared" ref="AL41" si="70">+AK46</f>
        <v>270</v>
      </c>
      <c r="AM41" s="489">
        <f t="shared" ref="AM41" si="71">+AL46</f>
        <v>270</v>
      </c>
      <c r="AN41" s="73"/>
      <c r="AO41" s="73"/>
    </row>
    <row r="42" spans="1:41" ht="15">
      <c r="A42" s="59"/>
      <c r="B42" s="58"/>
      <c r="C42" s="58"/>
      <c r="D42" s="79"/>
      <c r="E42" s="79"/>
      <c r="F42" s="79"/>
      <c r="G42" s="79"/>
      <c r="H42" s="79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</row>
    <row r="43" spans="1:41" ht="15">
      <c r="A43" s="59"/>
      <c r="B43" s="58" t="s">
        <v>405</v>
      </c>
      <c r="C43" s="58"/>
      <c r="D43" s="457"/>
      <c r="E43" s="457"/>
      <c r="F43" s="457"/>
      <c r="G43" s="457"/>
      <c r="H43" s="457"/>
      <c r="I43" s="457"/>
      <c r="J43" s="457"/>
      <c r="K43" s="457"/>
      <c r="L43" s="457"/>
      <c r="M43" s="457"/>
      <c r="N43" s="457"/>
      <c r="O43" s="457"/>
      <c r="P43" s="457"/>
      <c r="Q43" s="457"/>
      <c r="R43" s="457"/>
      <c r="S43" s="457"/>
      <c r="T43" s="457"/>
      <c r="U43" s="457"/>
      <c r="V43" s="457"/>
      <c r="W43" s="457"/>
      <c r="X43" s="457"/>
      <c r="Y43" s="457"/>
      <c r="Z43" s="457"/>
      <c r="AA43" s="457"/>
      <c r="AB43" s="457"/>
      <c r="AC43" s="457"/>
      <c r="AD43" s="457"/>
      <c r="AE43" s="457"/>
      <c r="AF43" s="457"/>
      <c r="AG43" s="457"/>
      <c r="AH43" s="457"/>
      <c r="AI43" s="457"/>
      <c r="AJ43" s="457"/>
      <c r="AK43" s="457"/>
      <c r="AL43" s="457"/>
      <c r="AM43" s="457"/>
      <c r="AN43" s="73"/>
      <c r="AO43" s="73"/>
    </row>
    <row r="44" spans="1:41" ht="15">
      <c r="A44" s="59"/>
      <c r="B44" s="58" t="s">
        <v>406</v>
      </c>
      <c r="C44" s="58"/>
      <c r="D44" s="457"/>
      <c r="E44" s="457"/>
      <c r="F44" s="457"/>
      <c r="G44" s="457"/>
      <c r="H44" s="457"/>
      <c r="I44" s="457"/>
      <c r="J44" s="457"/>
      <c r="K44" s="457"/>
      <c r="L44" s="457"/>
      <c r="M44" s="457"/>
      <c r="N44" s="457"/>
      <c r="O44" s="457"/>
      <c r="P44" s="457"/>
      <c r="Q44" s="457"/>
      <c r="R44" s="457"/>
      <c r="S44" s="457"/>
      <c r="T44" s="457"/>
      <c r="U44" s="457"/>
      <c r="V44" s="457"/>
      <c r="W44" s="457"/>
      <c r="X44" s="457"/>
      <c r="Y44" s="457"/>
      <c r="Z44" s="457"/>
      <c r="AA44" s="457"/>
      <c r="AB44" s="457"/>
      <c r="AC44" s="457"/>
      <c r="AD44" s="457"/>
      <c r="AE44" s="457"/>
      <c r="AF44" s="457"/>
      <c r="AG44" s="457"/>
      <c r="AH44" s="457"/>
      <c r="AI44" s="457"/>
      <c r="AJ44" s="457"/>
      <c r="AK44" s="457"/>
      <c r="AL44" s="457"/>
      <c r="AM44" s="457"/>
      <c r="AN44" s="73"/>
      <c r="AO44" s="73"/>
    </row>
    <row r="45" spans="1:41" ht="15">
      <c r="A45" s="59"/>
      <c r="B45" s="58"/>
      <c r="C45" s="58"/>
      <c r="D45" s="79"/>
      <c r="E45" s="79"/>
      <c r="F45" s="79"/>
      <c r="G45" s="79"/>
      <c r="H45" s="79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</row>
    <row r="46" spans="1:41" s="26" customFormat="1" ht="15">
      <c r="A46" s="136"/>
      <c r="B46" s="301" t="s">
        <v>413</v>
      </c>
      <c r="C46" s="301"/>
      <c r="D46" s="534">
        <f>+D41+D43-D44</f>
        <v>270</v>
      </c>
      <c r="E46" s="534">
        <f>+E41+E43-E44</f>
        <v>270</v>
      </c>
      <c r="F46" s="534">
        <f>+F41+F43-F44</f>
        <v>270</v>
      </c>
      <c r="G46" s="534">
        <f>+G41+G43-G44</f>
        <v>270</v>
      </c>
      <c r="H46" s="534">
        <f>+H41+H43-H44</f>
        <v>270</v>
      </c>
      <c r="I46" s="534">
        <f t="shared" ref="I46:O46" si="72">+I41+I43-I44</f>
        <v>270</v>
      </c>
      <c r="J46" s="534">
        <f t="shared" si="72"/>
        <v>270</v>
      </c>
      <c r="K46" s="534">
        <f t="shared" si="72"/>
        <v>270</v>
      </c>
      <c r="L46" s="534">
        <f t="shared" si="72"/>
        <v>270</v>
      </c>
      <c r="M46" s="534">
        <f t="shared" si="72"/>
        <v>270</v>
      </c>
      <c r="N46" s="534">
        <f t="shared" si="72"/>
        <v>270</v>
      </c>
      <c r="O46" s="534">
        <f t="shared" si="72"/>
        <v>270</v>
      </c>
      <c r="P46" s="534">
        <f t="shared" ref="P46:AM46" si="73">+P41+P43-P44</f>
        <v>270</v>
      </c>
      <c r="Q46" s="534">
        <f t="shared" si="73"/>
        <v>270</v>
      </c>
      <c r="R46" s="534">
        <f t="shared" si="73"/>
        <v>270</v>
      </c>
      <c r="S46" s="534">
        <f t="shared" si="73"/>
        <v>270</v>
      </c>
      <c r="T46" s="534">
        <f t="shared" si="73"/>
        <v>270</v>
      </c>
      <c r="U46" s="534">
        <f t="shared" si="73"/>
        <v>270</v>
      </c>
      <c r="V46" s="534">
        <f t="shared" si="73"/>
        <v>270</v>
      </c>
      <c r="W46" s="534">
        <f t="shared" si="73"/>
        <v>270</v>
      </c>
      <c r="X46" s="534">
        <f t="shared" si="73"/>
        <v>270</v>
      </c>
      <c r="Y46" s="534">
        <f t="shared" si="73"/>
        <v>270</v>
      </c>
      <c r="Z46" s="534">
        <f t="shared" si="73"/>
        <v>270</v>
      </c>
      <c r="AA46" s="534">
        <f t="shared" si="73"/>
        <v>270</v>
      </c>
      <c r="AB46" s="534">
        <f t="shared" si="73"/>
        <v>270</v>
      </c>
      <c r="AC46" s="534">
        <f t="shared" si="73"/>
        <v>270</v>
      </c>
      <c r="AD46" s="534">
        <f t="shared" si="73"/>
        <v>270</v>
      </c>
      <c r="AE46" s="534">
        <f t="shared" si="73"/>
        <v>270</v>
      </c>
      <c r="AF46" s="534">
        <f t="shared" si="73"/>
        <v>270</v>
      </c>
      <c r="AG46" s="534">
        <f t="shared" si="73"/>
        <v>270</v>
      </c>
      <c r="AH46" s="534">
        <f t="shared" si="73"/>
        <v>270</v>
      </c>
      <c r="AI46" s="534">
        <f t="shared" si="73"/>
        <v>270</v>
      </c>
      <c r="AJ46" s="534">
        <f t="shared" si="73"/>
        <v>270</v>
      </c>
      <c r="AK46" s="534">
        <f t="shared" si="73"/>
        <v>270</v>
      </c>
      <c r="AL46" s="534">
        <f t="shared" si="73"/>
        <v>270</v>
      </c>
      <c r="AM46" s="534">
        <f t="shared" si="73"/>
        <v>270</v>
      </c>
      <c r="AN46" s="486"/>
      <c r="AO46" s="486"/>
    </row>
    <row r="47" spans="1:41" ht="15">
      <c r="A47" s="59"/>
      <c r="B47" s="58"/>
      <c r="C47" s="58"/>
      <c r="D47" s="79"/>
      <c r="E47" s="79"/>
      <c r="F47" s="79"/>
      <c r="G47" s="79"/>
      <c r="H47" s="79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</row>
    <row r="48" spans="1:41" ht="15">
      <c r="A48" s="59"/>
      <c r="B48" s="133" t="s">
        <v>325</v>
      </c>
      <c r="C48" s="133"/>
      <c r="D48" s="134">
        <f>+D46-D41</f>
        <v>0</v>
      </c>
      <c r="E48" s="134">
        <f>+E46-E41</f>
        <v>0</v>
      </c>
      <c r="F48" s="134">
        <f>+F46-F41</f>
        <v>0</v>
      </c>
      <c r="G48" s="134">
        <f>+G46-G41</f>
        <v>0</v>
      </c>
      <c r="H48" s="134">
        <f>+H46-H41</f>
        <v>0</v>
      </c>
      <c r="I48" s="134">
        <f t="shared" ref="I48:O48" si="74">+I46-I41</f>
        <v>0</v>
      </c>
      <c r="J48" s="134">
        <f t="shared" si="74"/>
        <v>0</v>
      </c>
      <c r="K48" s="134">
        <f t="shared" si="74"/>
        <v>0</v>
      </c>
      <c r="L48" s="134">
        <f t="shared" si="74"/>
        <v>0</v>
      </c>
      <c r="M48" s="134">
        <f t="shared" si="74"/>
        <v>0</v>
      </c>
      <c r="N48" s="134">
        <f t="shared" si="74"/>
        <v>0</v>
      </c>
      <c r="O48" s="134">
        <f t="shared" si="74"/>
        <v>0</v>
      </c>
      <c r="P48" s="134">
        <f t="shared" ref="P48:AM48" si="75">+P46-P41</f>
        <v>0</v>
      </c>
      <c r="Q48" s="134">
        <f t="shared" si="75"/>
        <v>0</v>
      </c>
      <c r="R48" s="134">
        <f t="shared" si="75"/>
        <v>0</v>
      </c>
      <c r="S48" s="134">
        <f t="shared" si="75"/>
        <v>0</v>
      </c>
      <c r="T48" s="134">
        <f t="shared" si="75"/>
        <v>0</v>
      </c>
      <c r="U48" s="134">
        <f t="shared" si="75"/>
        <v>0</v>
      </c>
      <c r="V48" s="134">
        <f t="shared" si="75"/>
        <v>0</v>
      </c>
      <c r="W48" s="134">
        <f t="shared" si="75"/>
        <v>0</v>
      </c>
      <c r="X48" s="134">
        <f t="shared" si="75"/>
        <v>0</v>
      </c>
      <c r="Y48" s="134">
        <f t="shared" si="75"/>
        <v>0</v>
      </c>
      <c r="Z48" s="134">
        <f t="shared" si="75"/>
        <v>0</v>
      </c>
      <c r="AA48" s="134">
        <f t="shared" si="75"/>
        <v>0</v>
      </c>
      <c r="AB48" s="134">
        <f t="shared" si="75"/>
        <v>0</v>
      </c>
      <c r="AC48" s="134">
        <f t="shared" si="75"/>
        <v>0</v>
      </c>
      <c r="AD48" s="134">
        <f t="shared" si="75"/>
        <v>0</v>
      </c>
      <c r="AE48" s="134">
        <f t="shared" si="75"/>
        <v>0</v>
      </c>
      <c r="AF48" s="134">
        <f t="shared" si="75"/>
        <v>0</v>
      </c>
      <c r="AG48" s="134">
        <f t="shared" si="75"/>
        <v>0</v>
      </c>
      <c r="AH48" s="134">
        <f t="shared" si="75"/>
        <v>0</v>
      </c>
      <c r="AI48" s="134">
        <f t="shared" si="75"/>
        <v>0</v>
      </c>
      <c r="AJ48" s="134">
        <f t="shared" si="75"/>
        <v>0</v>
      </c>
      <c r="AK48" s="134">
        <f t="shared" si="75"/>
        <v>0</v>
      </c>
      <c r="AL48" s="134">
        <f t="shared" si="75"/>
        <v>0</v>
      </c>
      <c r="AM48" s="134">
        <f t="shared" si="75"/>
        <v>0</v>
      </c>
      <c r="AN48" s="134"/>
      <c r="AO48" s="134"/>
    </row>
    <row r="49" spans="1:41" ht="15">
      <c r="A49" s="59"/>
      <c r="B49" s="58"/>
      <c r="C49" s="58"/>
      <c r="D49" s="79"/>
      <c r="E49" s="79"/>
      <c r="F49" s="79"/>
      <c r="G49" s="79"/>
      <c r="H49" s="79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</row>
    <row r="50" spans="1:41" ht="15">
      <c r="A50" s="59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</row>
    <row r="51" spans="1:41" ht="16" thickBot="1">
      <c r="A51" s="59"/>
      <c r="B51" s="341" t="s">
        <v>402</v>
      </c>
      <c r="C51" s="341"/>
      <c r="D51" s="437">
        <f>D39</f>
        <v>2026</v>
      </c>
      <c r="E51" s="437">
        <f t="shared" ref="E51:AM51" si="76">E39</f>
        <v>2026</v>
      </c>
      <c r="F51" s="437">
        <f t="shared" si="76"/>
        <v>2026</v>
      </c>
      <c r="G51" s="437">
        <f t="shared" si="76"/>
        <v>2026</v>
      </c>
      <c r="H51" s="437">
        <f t="shared" si="76"/>
        <v>2026</v>
      </c>
      <c r="I51" s="437">
        <f t="shared" si="76"/>
        <v>2026</v>
      </c>
      <c r="J51" s="437">
        <f t="shared" si="76"/>
        <v>2026</v>
      </c>
      <c r="K51" s="437">
        <f t="shared" si="76"/>
        <v>2026</v>
      </c>
      <c r="L51" s="437">
        <f t="shared" si="76"/>
        <v>2026</v>
      </c>
      <c r="M51" s="437">
        <f t="shared" si="76"/>
        <v>2026</v>
      </c>
      <c r="N51" s="437">
        <f t="shared" si="76"/>
        <v>2026</v>
      </c>
      <c r="O51" s="437">
        <f t="shared" si="76"/>
        <v>2026</v>
      </c>
      <c r="P51" s="437">
        <f t="shared" si="76"/>
        <v>2027</v>
      </c>
      <c r="Q51" s="437">
        <f t="shared" si="76"/>
        <v>2027</v>
      </c>
      <c r="R51" s="437">
        <f t="shared" si="76"/>
        <v>2027</v>
      </c>
      <c r="S51" s="437">
        <f t="shared" si="76"/>
        <v>2027</v>
      </c>
      <c r="T51" s="437">
        <f t="shared" si="76"/>
        <v>2027</v>
      </c>
      <c r="U51" s="437">
        <f t="shared" si="76"/>
        <v>2027</v>
      </c>
      <c r="V51" s="437">
        <f t="shared" si="76"/>
        <v>2027</v>
      </c>
      <c r="W51" s="437">
        <f t="shared" si="76"/>
        <v>2027</v>
      </c>
      <c r="X51" s="437">
        <f t="shared" si="76"/>
        <v>2027</v>
      </c>
      <c r="Y51" s="437">
        <f t="shared" si="76"/>
        <v>2027</v>
      </c>
      <c r="Z51" s="437">
        <f t="shared" si="76"/>
        <v>2027</v>
      </c>
      <c r="AA51" s="437">
        <f t="shared" si="76"/>
        <v>2027</v>
      </c>
      <c r="AB51" s="437">
        <f t="shared" si="76"/>
        <v>2028</v>
      </c>
      <c r="AC51" s="437">
        <f t="shared" si="76"/>
        <v>2028</v>
      </c>
      <c r="AD51" s="437">
        <f t="shared" si="76"/>
        <v>2028</v>
      </c>
      <c r="AE51" s="437">
        <f t="shared" si="76"/>
        <v>2028</v>
      </c>
      <c r="AF51" s="437">
        <f t="shared" si="76"/>
        <v>2028</v>
      </c>
      <c r="AG51" s="437">
        <f t="shared" si="76"/>
        <v>2028</v>
      </c>
      <c r="AH51" s="437">
        <f t="shared" si="76"/>
        <v>2028</v>
      </c>
      <c r="AI51" s="437">
        <f t="shared" si="76"/>
        <v>2028</v>
      </c>
      <c r="AJ51" s="437">
        <f t="shared" si="76"/>
        <v>2028</v>
      </c>
      <c r="AK51" s="437">
        <f t="shared" si="76"/>
        <v>2028</v>
      </c>
      <c r="AL51" s="437">
        <f t="shared" si="76"/>
        <v>2028</v>
      </c>
      <c r="AM51" s="437">
        <f t="shared" si="76"/>
        <v>2028</v>
      </c>
      <c r="AN51" s="437"/>
      <c r="AO51" s="437"/>
    </row>
    <row r="52" spans="1:41" ht="15">
      <c r="A52" s="59"/>
      <c r="B52" s="130" t="s">
        <v>351</v>
      </c>
      <c r="C52" s="130"/>
      <c r="D52" s="490">
        <f>+'Ratio Analysis'!D49</f>
        <v>6.9444444444444448E-2</v>
      </c>
      <c r="E52" s="490">
        <f>+D52</f>
        <v>6.9444444444444448E-2</v>
      </c>
      <c r="F52" s="490">
        <f>+E52</f>
        <v>6.9444444444444448E-2</v>
      </c>
      <c r="G52" s="490">
        <f>+F52</f>
        <v>6.9444444444444448E-2</v>
      </c>
      <c r="H52" s="490">
        <f>+G52</f>
        <v>6.9444444444444448E-2</v>
      </c>
      <c r="I52" s="490">
        <f t="shared" ref="I52:O52" si="77">+H52</f>
        <v>6.9444444444444448E-2</v>
      </c>
      <c r="J52" s="490">
        <f t="shared" si="77"/>
        <v>6.9444444444444448E-2</v>
      </c>
      <c r="K52" s="490">
        <f t="shared" si="77"/>
        <v>6.9444444444444448E-2</v>
      </c>
      <c r="L52" s="490">
        <f t="shared" si="77"/>
        <v>6.9444444444444448E-2</v>
      </c>
      <c r="M52" s="490">
        <f t="shared" si="77"/>
        <v>6.9444444444444448E-2</v>
      </c>
      <c r="N52" s="490">
        <f t="shared" si="77"/>
        <v>6.9444444444444448E-2</v>
      </c>
      <c r="O52" s="490">
        <f t="shared" si="77"/>
        <v>6.9444444444444448E-2</v>
      </c>
      <c r="P52" s="490">
        <f>+O52+10%</f>
        <v>0.16944444444444445</v>
      </c>
      <c r="Q52" s="490">
        <f t="shared" ref="Q52" si="78">+P52</f>
        <v>0.16944444444444445</v>
      </c>
      <c r="R52" s="490">
        <f t="shared" ref="R52" si="79">+Q52</f>
        <v>0.16944444444444445</v>
      </c>
      <c r="S52" s="490">
        <f t="shared" ref="S52" si="80">+R52</f>
        <v>0.16944444444444445</v>
      </c>
      <c r="T52" s="490">
        <f t="shared" ref="T52" si="81">+S52</f>
        <v>0.16944444444444445</v>
      </c>
      <c r="U52" s="490">
        <f t="shared" ref="U52" si="82">+T52</f>
        <v>0.16944444444444445</v>
      </c>
      <c r="V52" s="490">
        <f t="shared" ref="V52" si="83">+U52</f>
        <v>0.16944444444444445</v>
      </c>
      <c r="W52" s="490">
        <f t="shared" ref="W52" si="84">+V52</f>
        <v>0.16944444444444445</v>
      </c>
      <c r="X52" s="490">
        <f t="shared" ref="X52" si="85">+W52</f>
        <v>0.16944444444444445</v>
      </c>
      <c r="Y52" s="490">
        <f t="shared" ref="Y52" si="86">+X52</f>
        <v>0.16944444444444445</v>
      </c>
      <c r="Z52" s="490">
        <f t="shared" ref="Z52" si="87">+Y52</f>
        <v>0.16944444444444445</v>
      </c>
      <c r="AA52" s="490">
        <f t="shared" ref="AA52" si="88">+Z52</f>
        <v>0.16944444444444445</v>
      </c>
      <c r="AB52" s="490">
        <f t="shared" ref="AB52" si="89">+AA52</f>
        <v>0.16944444444444445</v>
      </c>
      <c r="AC52" s="490">
        <f t="shared" ref="AC52" si="90">+AB52</f>
        <v>0.16944444444444445</v>
      </c>
      <c r="AD52" s="490">
        <f t="shared" ref="AD52" si="91">+AC52</f>
        <v>0.16944444444444445</v>
      </c>
      <c r="AE52" s="490">
        <f t="shared" ref="AE52" si="92">+AD52</f>
        <v>0.16944444444444445</v>
      </c>
      <c r="AF52" s="490">
        <f t="shared" ref="AF52" si="93">+AE52</f>
        <v>0.16944444444444445</v>
      </c>
      <c r="AG52" s="490">
        <f t="shared" ref="AG52" si="94">+AF52</f>
        <v>0.16944444444444445</v>
      </c>
      <c r="AH52" s="490">
        <f t="shared" ref="AH52" si="95">+AG52</f>
        <v>0.16944444444444445</v>
      </c>
      <c r="AI52" s="490">
        <f t="shared" ref="AI52" si="96">+AH52</f>
        <v>0.16944444444444445</v>
      </c>
      <c r="AJ52" s="490">
        <f t="shared" ref="AJ52" si="97">+AI52</f>
        <v>0.16944444444444445</v>
      </c>
      <c r="AK52" s="490">
        <f t="shared" ref="AK52" si="98">+AJ52</f>
        <v>0.16944444444444445</v>
      </c>
      <c r="AL52" s="490">
        <f t="shared" ref="AL52" si="99">+AK52</f>
        <v>0.16944444444444445</v>
      </c>
      <c r="AM52" s="490">
        <f t="shared" ref="AM52" si="100">+AL52</f>
        <v>0.16944444444444445</v>
      </c>
      <c r="AN52" s="487"/>
      <c r="AO52" s="487"/>
    </row>
    <row r="53" spans="1:41" ht="15">
      <c r="A53" s="59"/>
      <c r="B53" s="58"/>
      <c r="C53" s="58"/>
      <c r="D53" s="79"/>
      <c r="E53" s="79"/>
      <c r="F53" s="79"/>
      <c r="G53" s="79"/>
      <c r="H53" s="79"/>
      <c r="I53" s="79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</row>
    <row r="54" spans="1:41" ht="15">
      <c r="A54" s="59"/>
      <c r="B54" s="72" t="s">
        <v>97</v>
      </c>
      <c r="C54" s="72"/>
      <c r="D54" s="489">
        <f>+D34*D52</f>
        <v>69475.694444444453</v>
      </c>
      <c r="E54" s="489">
        <f t="shared" ref="E54:O54" si="101">+E34*E52</f>
        <v>69475.694444444453</v>
      </c>
      <c r="F54" s="489">
        <f t="shared" si="101"/>
        <v>69475.694444444453</v>
      </c>
      <c r="G54" s="489">
        <f t="shared" si="101"/>
        <v>34753.472222222226</v>
      </c>
      <c r="H54" s="489">
        <f t="shared" si="101"/>
        <v>34753.472222222226</v>
      </c>
      <c r="I54" s="489">
        <f t="shared" si="101"/>
        <v>34753.472222222226</v>
      </c>
      <c r="J54" s="489">
        <f t="shared" si="101"/>
        <v>34753.472222222226</v>
      </c>
      <c r="K54" s="489">
        <f t="shared" si="101"/>
        <v>34753.472222222226</v>
      </c>
      <c r="L54" s="489">
        <f t="shared" si="101"/>
        <v>34753.472222222226</v>
      </c>
      <c r="M54" s="489">
        <f t="shared" si="101"/>
        <v>34753.472222222226</v>
      </c>
      <c r="N54" s="489">
        <f t="shared" si="101"/>
        <v>34753.472222222226</v>
      </c>
      <c r="O54" s="489">
        <f t="shared" si="101"/>
        <v>34753.472222222226</v>
      </c>
      <c r="P54" s="489">
        <f t="shared" ref="P54:AM54" si="102">+P34*P52</f>
        <v>177992.91666666669</v>
      </c>
      <c r="Q54" s="489">
        <f t="shared" si="102"/>
        <v>177992.91666666669</v>
      </c>
      <c r="R54" s="489">
        <f t="shared" si="102"/>
        <v>177992.91666666669</v>
      </c>
      <c r="S54" s="489">
        <f t="shared" si="102"/>
        <v>177992.91666666669</v>
      </c>
      <c r="T54" s="489">
        <f t="shared" si="102"/>
        <v>177992.91666666669</v>
      </c>
      <c r="U54" s="489">
        <f t="shared" si="102"/>
        <v>177992.91666666669</v>
      </c>
      <c r="V54" s="489">
        <f t="shared" si="102"/>
        <v>177992.91666666669</v>
      </c>
      <c r="W54" s="489">
        <f t="shared" si="102"/>
        <v>177992.91666666669</v>
      </c>
      <c r="X54" s="489">
        <f t="shared" si="102"/>
        <v>177992.91666666669</v>
      </c>
      <c r="Y54" s="489">
        <f t="shared" si="102"/>
        <v>177992.91666666669</v>
      </c>
      <c r="Z54" s="489">
        <f t="shared" si="102"/>
        <v>177992.91666666669</v>
      </c>
      <c r="AA54" s="489">
        <f t="shared" si="102"/>
        <v>177992.91666666669</v>
      </c>
      <c r="AB54" s="489">
        <f t="shared" si="102"/>
        <v>177992.91666666669</v>
      </c>
      <c r="AC54" s="489">
        <f t="shared" si="102"/>
        <v>177992.91666666669</v>
      </c>
      <c r="AD54" s="489">
        <f t="shared" si="102"/>
        <v>177992.91666666669</v>
      </c>
      <c r="AE54" s="489">
        <f t="shared" si="102"/>
        <v>177992.91666666669</v>
      </c>
      <c r="AF54" s="489">
        <f t="shared" si="102"/>
        <v>177992.91666666669</v>
      </c>
      <c r="AG54" s="489">
        <f t="shared" si="102"/>
        <v>177992.91666666669</v>
      </c>
      <c r="AH54" s="489">
        <f t="shared" si="102"/>
        <v>177992.91666666669</v>
      </c>
      <c r="AI54" s="489">
        <f t="shared" si="102"/>
        <v>177992.91666666669</v>
      </c>
      <c r="AJ54" s="489">
        <f t="shared" si="102"/>
        <v>177992.91666666669</v>
      </c>
      <c r="AK54" s="489">
        <f t="shared" si="102"/>
        <v>177992.91666666669</v>
      </c>
      <c r="AL54" s="489">
        <f t="shared" si="102"/>
        <v>177992.91666666669</v>
      </c>
      <c r="AM54" s="489">
        <f t="shared" si="102"/>
        <v>177992.91666666669</v>
      </c>
      <c r="AN54" s="73"/>
      <c r="AO54" s="73"/>
    </row>
    <row r="55" spans="1:41" ht="15">
      <c r="A55" s="59"/>
      <c r="B55" s="58"/>
      <c r="C55" s="58"/>
      <c r="D55" s="137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</row>
    <row r="56" spans="1:41" ht="15">
      <c r="A56" s="59"/>
      <c r="B56" s="130" t="s">
        <v>400</v>
      </c>
      <c r="C56" s="130"/>
      <c r="D56" s="457"/>
      <c r="E56" s="457"/>
      <c r="F56" s="457"/>
      <c r="G56" s="457"/>
      <c r="H56" s="457"/>
      <c r="I56" s="457"/>
      <c r="J56" s="457"/>
      <c r="K56" s="457"/>
      <c r="L56" s="457"/>
      <c r="M56" s="457"/>
      <c r="N56" s="457"/>
      <c r="O56" s="457"/>
      <c r="P56" s="457"/>
      <c r="Q56" s="457"/>
      <c r="R56" s="457"/>
      <c r="S56" s="457"/>
      <c r="T56" s="457"/>
      <c r="U56" s="457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57"/>
      <c r="AH56" s="457"/>
      <c r="AI56" s="457"/>
      <c r="AJ56" s="457"/>
      <c r="AK56" s="457"/>
      <c r="AL56" s="457"/>
      <c r="AM56" s="457"/>
      <c r="AN56" s="73"/>
      <c r="AO56" s="73"/>
    </row>
    <row r="57" spans="1:41" ht="15">
      <c r="A57" s="59"/>
      <c r="B57" s="130" t="s">
        <v>35</v>
      </c>
      <c r="C57" s="130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/>
      <c r="T57" s="457"/>
      <c r="U57" s="457"/>
      <c r="V57" s="457"/>
      <c r="W57" s="457"/>
      <c r="X57" s="457"/>
      <c r="Y57" s="457"/>
      <c r="Z57" s="457"/>
      <c r="AA57" s="457"/>
      <c r="AB57" s="457"/>
      <c r="AC57" s="457"/>
      <c r="AD57" s="457"/>
      <c r="AE57" s="457"/>
      <c r="AF57" s="457"/>
      <c r="AG57" s="457"/>
      <c r="AH57" s="457"/>
      <c r="AI57" s="457"/>
      <c r="AJ57" s="457"/>
      <c r="AK57" s="457"/>
      <c r="AL57" s="457"/>
      <c r="AM57" s="457"/>
      <c r="AN57" s="73"/>
      <c r="AO57" s="73"/>
    </row>
    <row r="58" spans="1:41" ht="15">
      <c r="A58" s="59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</row>
    <row r="59" spans="1:41" ht="15">
      <c r="A59" s="59"/>
      <c r="B59" s="72" t="s">
        <v>401</v>
      </c>
      <c r="C59" s="72"/>
      <c r="D59" s="489">
        <f>+D54+D56-D57</f>
        <v>69475.694444444453</v>
      </c>
      <c r="E59" s="489">
        <f>+E54+E56-E57</f>
        <v>69475.694444444453</v>
      </c>
      <c r="F59" s="489">
        <f>+F54+F56-F57</f>
        <v>69475.694444444453</v>
      </c>
      <c r="G59" s="489">
        <f>+G54+G56-G57</f>
        <v>34753.472222222226</v>
      </c>
      <c r="H59" s="489">
        <f>+H54+H56-H57</f>
        <v>34753.472222222226</v>
      </c>
      <c r="I59" s="489">
        <f t="shared" ref="I59:O59" si="103">+I54+I56-I57</f>
        <v>34753.472222222226</v>
      </c>
      <c r="J59" s="489">
        <f t="shared" si="103"/>
        <v>34753.472222222226</v>
      </c>
      <c r="K59" s="489">
        <f t="shared" si="103"/>
        <v>34753.472222222226</v>
      </c>
      <c r="L59" s="489">
        <f t="shared" si="103"/>
        <v>34753.472222222226</v>
      </c>
      <c r="M59" s="489">
        <f t="shared" si="103"/>
        <v>34753.472222222226</v>
      </c>
      <c r="N59" s="489">
        <f t="shared" si="103"/>
        <v>34753.472222222226</v>
      </c>
      <c r="O59" s="489">
        <f t="shared" si="103"/>
        <v>34753.472222222226</v>
      </c>
      <c r="P59" s="489">
        <f t="shared" ref="P59:AM59" si="104">+P54+P56-P57</f>
        <v>177992.91666666669</v>
      </c>
      <c r="Q59" s="489">
        <f t="shared" si="104"/>
        <v>177992.91666666669</v>
      </c>
      <c r="R59" s="489">
        <f t="shared" si="104"/>
        <v>177992.91666666669</v>
      </c>
      <c r="S59" s="489">
        <f t="shared" si="104"/>
        <v>177992.91666666669</v>
      </c>
      <c r="T59" s="489">
        <f t="shared" si="104"/>
        <v>177992.91666666669</v>
      </c>
      <c r="U59" s="489">
        <f t="shared" si="104"/>
        <v>177992.91666666669</v>
      </c>
      <c r="V59" s="489">
        <f t="shared" si="104"/>
        <v>177992.91666666669</v>
      </c>
      <c r="W59" s="489">
        <f t="shared" si="104"/>
        <v>177992.91666666669</v>
      </c>
      <c r="X59" s="489">
        <f t="shared" si="104"/>
        <v>177992.91666666669</v>
      </c>
      <c r="Y59" s="489">
        <f t="shared" si="104"/>
        <v>177992.91666666669</v>
      </c>
      <c r="Z59" s="489">
        <f t="shared" si="104"/>
        <v>177992.91666666669</v>
      </c>
      <c r="AA59" s="489">
        <f t="shared" si="104"/>
        <v>177992.91666666669</v>
      </c>
      <c r="AB59" s="489">
        <f t="shared" si="104"/>
        <v>177992.91666666669</v>
      </c>
      <c r="AC59" s="489">
        <f t="shared" si="104"/>
        <v>177992.91666666669</v>
      </c>
      <c r="AD59" s="489">
        <f t="shared" si="104"/>
        <v>177992.91666666669</v>
      </c>
      <c r="AE59" s="489">
        <f t="shared" si="104"/>
        <v>177992.91666666669</v>
      </c>
      <c r="AF59" s="489">
        <f t="shared" si="104"/>
        <v>177992.91666666669</v>
      </c>
      <c r="AG59" s="489">
        <f t="shared" si="104"/>
        <v>177992.91666666669</v>
      </c>
      <c r="AH59" s="489">
        <f t="shared" si="104"/>
        <v>177992.91666666669</v>
      </c>
      <c r="AI59" s="489">
        <f t="shared" si="104"/>
        <v>177992.91666666669</v>
      </c>
      <c r="AJ59" s="489">
        <f t="shared" si="104"/>
        <v>177992.91666666669</v>
      </c>
      <c r="AK59" s="489">
        <f t="shared" si="104"/>
        <v>177992.91666666669</v>
      </c>
      <c r="AL59" s="489">
        <f t="shared" si="104"/>
        <v>177992.91666666669</v>
      </c>
      <c r="AM59" s="489">
        <f t="shared" si="104"/>
        <v>177992.91666666669</v>
      </c>
      <c r="AN59" s="73"/>
      <c r="AO59" s="73"/>
    </row>
    <row r="60" spans="1:41" ht="15">
      <c r="A60" s="59"/>
      <c r="B60" s="58"/>
      <c r="C60" s="58"/>
      <c r="D60" s="58"/>
      <c r="E60" s="58"/>
      <c r="F60" s="58"/>
      <c r="G60" s="58"/>
      <c r="H60" s="58"/>
      <c r="I60" s="79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</row>
    <row r="61" spans="1:41" ht="15">
      <c r="A61" s="59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</row>
    <row r="62" spans="1:41" ht="16" thickBot="1">
      <c r="A62" s="59"/>
      <c r="B62" s="341" t="s">
        <v>366</v>
      </c>
      <c r="C62" s="341"/>
      <c r="D62" s="343">
        <f>D51</f>
        <v>2026</v>
      </c>
      <c r="E62" s="343">
        <f t="shared" ref="E62:AM62" si="105">E51</f>
        <v>2026</v>
      </c>
      <c r="F62" s="343">
        <f t="shared" si="105"/>
        <v>2026</v>
      </c>
      <c r="G62" s="343">
        <f t="shared" si="105"/>
        <v>2026</v>
      </c>
      <c r="H62" s="343">
        <f t="shared" si="105"/>
        <v>2026</v>
      </c>
      <c r="I62" s="343">
        <f t="shared" si="105"/>
        <v>2026</v>
      </c>
      <c r="J62" s="343">
        <f t="shared" si="105"/>
        <v>2026</v>
      </c>
      <c r="K62" s="343">
        <f t="shared" si="105"/>
        <v>2026</v>
      </c>
      <c r="L62" s="343">
        <f t="shared" si="105"/>
        <v>2026</v>
      </c>
      <c r="M62" s="343">
        <f t="shared" si="105"/>
        <v>2026</v>
      </c>
      <c r="N62" s="343">
        <f t="shared" si="105"/>
        <v>2026</v>
      </c>
      <c r="O62" s="343">
        <f t="shared" si="105"/>
        <v>2026</v>
      </c>
      <c r="P62" s="343">
        <f t="shared" si="105"/>
        <v>2027</v>
      </c>
      <c r="Q62" s="343">
        <f t="shared" si="105"/>
        <v>2027</v>
      </c>
      <c r="R62" s="343">
        <f t="shared" si="105"/>
        <v>2027</v>
      </c>
      <c r="S62" s="343">
        <f t="shared" si="105"/>
        <v>2027</v>
      </c>
      <c r="T62" s="343">
        <f t="shared" si="105"/>
        <v>2027</v>
      </c>
      <c r="U62" s="343">
        <f t="shared" si="105"/>
        <v>2027</v>
      </c>
      <c r="V62" s="343">
        <f t="shared" si="105"/>
        <v>2027</v>
      </c>
      <c r="W62" s="343">
        <f t="shared" si="105"/>
        <v>2027</v>
      </c>
      <c r="X62" s="343">
        <f t="shared" si="105"/>
        <v>2027</v>
      </c>
      <c r="Y62" s="343">
        <f t="shared" si="105"/>
        <v>2027</v>
      </c>
      <c r="Z62" s="343">
        <f t="shared" si="105"/>
        <v>2027</v>
      </c>
      <c r="AA62" s="343">
        <f t="shared" si="105"/>
        <v>2027</v>
      </c>
      <c r="AB62" s="343">
        <f t="shared" si="105"/>
        <v>2028</v>
      </c>
      <c r="AC62" s="343">
        <f t="shared" si="105"/>
        <v>2028</v>
      </c>
      <c r="AD62" s="343">
        <f t="shared" si="105"/>
        <v>2028</v>
      </c>
      <c r="AE62" s="343">
        <f t="shared" si="105"/>
        <v>2028</v>
      </c>
      <c r="AF62" s="343">
        <f t="shared" si="105"/>
        <v>2028</v>
      </c>
      <c r="AG62" s="343">
        <f t="shared" si="105"/>
        <v>2028</v>
      </c>
      <c r="AH62" s="343">
        <f t="shared" si="105"/>
        <v>2028</v>
      </c>
      <c r="AI62" s="343">
        <f t="shared" si="105"/>
        <v>2028</v>
      </c>
      <c r="AJ62" s="343">
        <f t="shared" si="105"/>
        <v>2028</v>
      </c>
      <c r="AK62" s="343">
        <f t="shared" si="105"/>
        <v>2028</v>
      </c>
      <c r="AL62" s="343">
        <f t="shared" si="105"/>
        <v>2028</v>
      </c>
      <c r="AM62" s="343">
        <f t="shared" si="105"/>
        <v>2028</v>
      </c>
      <c r="AN62" s="437"/>
      <c r="AO62" s="437"/>
    </row>
    <row r="63" spans="1:41" ht="15">
      <c r="A63" s="59"/>
      <c r="B63" s="69"/>
      <c r="C63" s="69"/>
      <c r="D63" s="58"/>
      <c r="E63" s="58"/>
      <c r="F63" s="12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spans="1:41" ht="15">
      <c r="A64" s="59"/>
      <c r="B64" s="130" t="s">
        <v>322</v>
      </c>
      <c r="C64" s="130"/>
      <c r="D64" s="457"/>
      <c r="E64" s="457"/>
      <c r="F64" s="457"/>
      <c r="G64" s="457"/>
      <c r="H64" s="457"/>
      <c r="I64" s="457"/>
      <c r="J64" s="457"/>
      <c r="K64" s="457"/>
      <c r="L64" s="457"/>
      <c r="M64" s="457"/>
      <c r="N64" s="457"/>
      <c r="O64" s="457"/>
      <c r="P64" s="457"/>
      <c r="Q64" s="457"/>
      <c r="R64" s="457"/>
      <c r="S64" s="457"/>
      <c r="T64" s="457"/>
      <c r="U64" s="457"/>
      <c r="V64" s="457"/>
      <c r="W64" s="457"/>
      <c r="X64" s="457"/>
      <c r="Y64" s="457"/>
      <c r="Z64" s="457"/>
      <c r="AA64" s="457"/>
      <c r="AB64" s="457"/>
      <c r="AC64" s="457"/>
      <c r="AD64" s="457"/>
      <c r="AE64" s="457"/>
      <c r="AF64" s="457"/>
      <c r="AG64" s="457"/>
      <c r="AH64" s="457"/>
      <c r="AI64" s="457"/>
      <c r="AJ64" s="457"/>
      <c r="AK64" s="457"/>
      <c r="AL64" s="457"/>
      <c r="AM64" s="457"/>
      <c r="AN64" s="73"/>
      <c r="AO64" s="73"/>
    </row>
    <row r="65" spans="1:41" ht="15">
      <c r="A65" s="59"/>
      <c r="B65" s="130" t="s">
        <v>323</v>
      </c>
      <c r="C65" s="130"/>
      <c r="D65" s="457"/>
      <c r="E65" s="457"/>
      <c r="F65" s="457"/>
      <c r="G65" s="457"/>
      <c r="H65" s="457"/>
      <c r="I65" s="457"/>
      <c r="J65" s="457"/>
      <c r="K65" s="457"/>
      <c r="L65" s="457"/>
      <c r="M65" s="457"/>
      <c r="N65" s="457"/>
      <c r="O65" s="457"/>
      <c r="P65" s="457"/>
      <c r="Q65" s="457"/>
      <c r="R65" s="457"/>
      <c r="S65" s="457"/>
      <c r="T65" s="457"/>
      <c r="U65" s="457"/>
      <c r="V65" s="457"/>
      <c r="W65" s="457"/>
      <c r="X65" s="457"/>
      <c r="Y65" s="457"/>
      <c r="Z65" s="457"/>
      <c r="AA65" s="457"/>
      <c r="AB65" s="457">
        <v>1000000</v>
      </c>
      <c r="AC65" s="457"/>
      <c r="AD65" s="457"/>
      <c r="AE65" s="457"/>
      <c r="AF65" s="457"/>
      <c r="AG65" s="457"/>
      <c r="AH65" s="457"/>
      <c r="AI65" s="457"/>
      <c r="AJ65" s="457"/>
      <c r="AK65" s="457"/>
      <c r="AL65" s="457"/>
      <c r="AM65" s="457"/>
      <c r="AN65" s="73"/>
      <c r="AO65" s="73"/>
    </row>
    <row r="66" spans="1:41" ht="15">
      <c r="A66" s="59"/>
      <c r="B66" s="68"/>
      <c r="C66" s="68"/>
      <c r="D66" s="80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spans="1:41" ht="15">
      <c r="A67" s="59"/>
      <c r="B67" s="68"/>
      <c r="C67" s="68"/>
      <c r="D67" s="80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spans="1:41" ht="15">
      <c r="A68" s="59"/>
      <c r="B68" s="68"/>
      <c r="C68" s="68"/>
      <c r="D68" s="80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spans="1:41" ht="15">
      <c r="A69" s="59"/>
      <c r="B69" s="68"/>
      <c r="C69" s="68"/>
      <c r="D69" s="80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spans="1:41" ht="15">
      <c r="A70" s="59"/>
      <c r="B70" s="68"/>
      <c r="C70" s="68"/>
      <c r="D70" s="80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spans="1:41" ht="15">
      <c r="A71" s="59"/>
      <c r="B71" s="68"/>
      <c r="C71" s="68"/>
      <c r="D71" s="80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spans="1:41" ht="15">
      <c r="A72" s="59"/>
      <c r="B72" s="68"/>
      <c r="C72" s="68"/>
      <c r="D72" s="80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spans="1:41" ht="15">
      <c r="A73" s="59"/>
      <c r="B73" s="68"/>
      <c r="C73" s="68"/>
      <c r="D73" s="80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spans="1:41" ht="15">
      <c r="A74" s="59"/>
      <c r="B74" s="68"/>
      <c r="C74" s="68"/>
      <c r="D74" s="80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spans="1:41">
      <c r="B75" s="7"/>
      <c r="C75" s="7"/>
      <c r="D75" s="10"/>
    </row>
    <row r="76" spans="1:41">
      <c r="B76" s="7"/>
      <c r="C76" s="7"/>
      <c r="D76" s="10"/>
    </row>
    <row r="77" spans="1:41">
      <c r="B77" s="7"/>
      <c r="C77" s="7"/>
      <c r="D77" s="10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/>
  </sheetPr>
  <dimension ref="A1:AN87"/>
  <sheetViews>
    <sheetView showGridLines="0" workbookViewId="0">
      <pane xSplit="4" topLeftCell="E1" activePane="topRight" state="frozen"/>
      <selection pane="topRight" activeCell="I14" sqref="I14"/>
    </sheetView>
  </sheetViews>
  <sheetFormatPr baseColWidth="10" defaultColWidth="8.83203125" defaultRowHeight="14"/>
  <cols>
    <col min="1" max="1" width="1.83203125" style="21" customWidth="1"/>
    <col min="2" max="2" width="37.6640625" style="16" customWidth="1"/>
    <col min="3" max="9" width="11" style="16" customWidth="1"/>
    <col min="10" max="16384" width="8.83203125" style="16"/>
  </cols>
  <sheetData>
    <row r="1" spans="1:40" s="323" customFormat="1" ht="16">
      <c r="A1" s="297" t="s">
        <v>510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</row>
    <row r="2" spans="1:40" ht="15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</row>
    <row r="3" spans="1:40" ht="15">
      <c r="A3" s="59"/>
      <c r="B3" s="176" t="s">
        <v>534</v>
      </c>
      <c r="C3" s="58"/>
      <c r="D3" s="58"/>
      <c r="E3" s="163">
        <f>'Revenue &amp; COGS Building'!O12</f>
        <v>46053</v>
      </c>
      <c r="F3" s="163">
        <f>'Revenue &amp; COGS Building'!P12</f>
        <v>46054</v>
      </c>
      <c r="G3" s="163">
        <f>'Revenue &amp; COGS Building'!Q12</f>
        <v>46082</v>
      </c>
      <c r="H3" s="163">
        <f>'Revenue &amp; COGS Building'!R12</f>
        <v>46113</v>
      </c>
      <c r="I3" s="163">
        <f>'Revenue &amp; COGS Building'!S12</f>
        <v>46143</v>
      </c>
      <c r="J3" s="163">
        <f>'Revenue &amp; COGS Building'!T12</f>
        <v>46174</v>
      </c>
      <c r="K3" s="163">
        <f>'Revenue &amp; COGS Building'!U12</f>
        <v>46204</v>
      </c>
      <c r="L3" s="163">
        <f>'Revenue &amp; COGS Building'!V12</f>
        <v>46235</v>
      </c>
      <c r="M3" s="163">
        <f>'Revenue &amp; COGS Building'!W12</f>
        <v>46266</v>
      </c>
      <c r="N3" s="163">
        <f>'Revenue &amp; COGS Building'!X12</f>
        <v>46296</v>
      </c>
      <c r="O3" s="163">
        <f>'Revenue &amp; COGS Building'!Y12</f>
        <v>46327</v>
      </c>
      <c r="P3" s="163">
        <f>'Revenue &amp; COGS Building'!Z12</f>
        <v>46357</v>
      </c>
      <c r="Q3" s="163">
        <f>'Revenue &amp; COGS Building'!AA12</f>
        <v>46388</v>
      </c>
      <c r="R3" s="163">
        <f>'Revenue &amp; COGS Building'!AB12</f>
        <v>46419</v>
      </c>
      <c r="S3" s="163">
        <f>'Revenue &amp; COGS Building'!AC12</f>
        <v>46447</v>
      </c>
      <c r="T3" s="163">
        <f>'Revenue &amp; COGS Building'!AD12</f>
        <v>46478</v>
      </c>
      <c r="U3" s="163">
        <f>'Revenue &amp; COGS Building'!AE12</f>
        <v>46508</v>
      </c>
      <c r="V3" s="163">
        <f>'Revenue &amp; COGS Building'!AF12</f>
        <v>46539</v>
      </c>
      <c r="W3" s="163">
        <f>'Revenue &amp; COGS Building'!AG12</f>
        <v>46569</v>
      </c>
      <c r="X3" s="163">
        <f>'Revenue &amp; COGS Building'!AH12</f>
        <v>46600</v>
      </c>
      <c r="Y3" s="163">
        <f>'Revenue &amp; COGS Building'!AI12</f>
        <v>46631</v>
      </c>
      <c r="Z3" s="163">
        <f>'Revenue &amp; COGS Building'!AJ12</f>
        <v>46661</v>
      </c>
      <c r="AA3" s="163">
        <f>'Revenue &amp; COGS Building'!AK12</f>
        <v>46692</v>
      </c>
      <c r="AB3" s="163">
        <f>'Revenue &amp; COGS Building'!AL12</f>
        <v>46722</v>
      </c>
      <c r="AC3" s="163">
        <f>'Revenue &amp; COGS Building'!AM12</f>
        <v>46753</v>
      </c>
      <c r="AD3" s="163">
        <f>'Revenue &amp; COGS Building'!AN12</f>
        <v>46784</v>
      </c>
      <c r="AE3" s="163">
        <f>'Revenue &amp; COGS Building'!AO12</f>
        <v>46813</v>
      </c>
      <c r="AF3" s="163">
        <f>'Revenue &amp; COGS Building'!AP12</f>
        <v>46844</v>
      </c>
      <c r="AG3" s="163">
        <f>'Revenue &amp; COGS Building'!AQ12</f>
        <v>46874</v>
      </c>
      <c r="AH3" s="163">
        <f>'Revenue &amp; COGS Building'!AR12</f>
        <v>46905</v>
      </c>
      <c r="AI3" s="163">
        <f>'Revenue &amp; COGS Building'!AS12</f>
        <v>46935</v>
      </c>
      <c r="AJ3" s="163">
        <f>'Revenue &amp; COGS Building'!AT12</f>
        <v>46966</v>
      </c>
      <c r="AK3" s="163">
        <f>'Revenue &amp; COGS Building'!AU12</f>
        <v>46997</v>
      </c>
      <c r="AL3" s="163">
        <f>'Revenue &amp; COGS Building'!AV12</f>
        <v>47027</v>
      </c>
      <c r="AM3" s="163">
        <f>'Revenue &amp; COGS Building'!AW12</f>
        <v>47058</v>
      </c>
      <c r="AN3" s="163">
        <f>'Revenue &amp; COGS Building'!AX12</f>
        <v>47088</v>
      </c>
    </row>
    <row r="4" spans="1:40" ht="15">
      <c r="A4" s="59"/>
      <c r="B4" s="176" t="s">
        <v>532</v>
      </c>
      <c r="C4" s="58"/>
      <c r="D4" s="58"/>
      <c r="E4" s="428">
        <f>'Revenue &amp; COGS Building'!O13</f>
        <v>1</v>
      </c>
      <c r="F4" s="428">
        <f>'Revenue &amp; COGS Building'!P13</f>
        <v>2</v>
      </c>
      <c r="G4" s="428">
        <f>'Revenue &amp; COGS Building'!Q13</f>
        <v>3</v>
      </c>
      <c r="H4" s="428">
        <f>'Revenue &amp; COGS Building'!R13</f>
        <v>4</v>
      </c>
      <c r="I4" s="428">
        <f>'Revenue &amp; COGS Building'!S13</f>
        <v>5</v>
      </c>
      <c r="J4" s="428">
        <f>'Revenue &amp; COGS Building'!T13</f>
        <v>6</v>
      </c>
      <c r="K4" s="428">
        <f>'Revenue &amp; COGS Building'!U13</f>
        <v>7</v>
      </c>
      <c r="L4" s="428">
        <f>'Revenue &amp; COGS Building'!V13</f>
        <v>8</v>
      </c>
      <c r="M4" s="428">
        <f>'Revenue &amp; COGS Building'!W13</f>
        <v>9</v>
      </c>
      <c r="N4" s="428">
        <f>'Revenue &amp; COGS Building'!X13</f>
        <v>10</v>
      </c>
      <c r="O4" s="428">
        <f>'Revenue &amp; COGS Building'!Y13</f>
        <v>11</v>
      </c>
      <c r="P4" s="428">
        <f>'Revenue &amp; COGS Building'!Z13</f>
        <v>12</v>
      </c>
      <c r="Q4" s="428">
        <f>'Revenue &amp; COGS Building'!AA13</f>
        <v>13</v>
      </c>
      <c r="R4" s="428">
        <f>'Revenue &amp; COGS Building'!AB13</f>
        <v>14</v>
      </c>
      <c r="S4" s="428">
        <f>'Revenue &amp; COGS Building'!AC13</f>
        <v>15</v>
      </c>
      <c r="T4" s="428">
        <f>'Revenue &amp; COGS Building'!AD13</f>
        <v>16</v>
      </c>
      <c r="U4" s="428">
        <f>'Revenue &amp; COGS Building'!AE13</f>
        <v>17</v>
      </c>
      <c r="V4" s="428">
        <f>'Revenue &amp; COGS Building'!AF13</f>
        <v>18</v>
      </c>
      <c r="W4" s="428">
        <f>'Revenue &amp; COGS Building'!AG13</f>
        <v>19</v>
      </c>
      <c r="X4" s="428">
        <f>'Revenue &amp; COGS Building'!AH13</f>
        <v>20</v>
      </c>
      <c r="Y4" s="428">
        <f>'Revenue &amp; COGS Building'!AI13</f>
        <v>21</v>
      </c>
      <c r="Z4" s="428">
        <f>'Revenue &amp; COGS Building'!AJ13</f>
        <v>22</v>
      </c>
      <c r="AA4" s="428">
        <f>'Revenue &amp; COGS Building'!AK13</f>
        <v>23</v>
      </c>
      <c r="AB4" s="428">
        <f>'Revenue &amp; COGS Building'!AL13</f>
        <v>24</v>
      </c>
      <c r="AC4" s="428">
        <f>'Revenue &amp; COGS Building'!AM13</f>
        <v>25</v>
      </c>
      <c r="AD4" s="428">
        <f>'Revenue &amp; COGS Building'!AN13</f>
        <v>26</v>
      </c>
      <c r="AE4" s="428">
        <f>'Revenue &amp; COGS Building'!AO13</f>
        <v>27</v>
      </c>
      <c r="AF4" s="428">
        <f>'Revenue &amp; COGS Building'!AP13</f>
        <v>28</v>
      </c>
      <c r="AG4" s="428">
        <f>'Revenue &amp; COGS Building'!AQ13</f>
        <v>29</v>
      </c>
      <c r="AH4" s="428">
        <f>'Revenue &amp; COGS Building'!AR13</f>
        <v>30</v>
      </c>
      <c r="AI4" s="428">
        <f>'Revenue &amp; COGS Building'!AS13</f>
        <v>31</v>
      </c>
      <c r="AJ4" s="428">
        <f>'Revenue &amp; COGS Building'!AT13</f>
        <v>32</v>
      </c>
      <c r="AK4" s="428">
        <f>'Revenue &amp; COGS Building'!AU13</f>
        <v>33</v>
      </c>
      <c r="AL4" s="428">
        <f>'Revenue &amp; COGS Building'!AV13</f>
        <v>34</v>
      </c>
      <c r="AM4" s="428">
        <f>'Revenue &amp; COGS Building'!AW13</f>
        <v>35</v>
      </c>
      <c r="AN4" s="428">
        <f>'Revenue &amp; COGS Building'!AX13</f>
        <v>36</v>
      </c>
    </row>
    <row r="5" spans="1:40" ht="15">
      <c r="A5" s="59"/>
      <c r="B5" s="176" t="s">
        <v>533</v>
      </c>
      <c r="C5" s="58"/>
      <c r="D5" s="58"/>
      <c r="E5" s="428">
        <f>'Revenue &amp; COGS Building'!O14</f>
        <v>1</v>
      </c>
      <c r="F5" s="428">
        <f>'Revenue &amp; COGS Building'!P14</f>
        <v>1</v>
      </c>
      <c r="G5" s="428">
        <f>'Revenue &amp; COGS Building'!Q14</f>
        <v>1</v>
      </c>
      <c r="H5" s="428">
        <f>'Revenue &amp; COGS Building'!R14</f>
        <v>1</v>
      </c>
      <c r="I5" s="428">
        <f>'Revenue &amp; COGS Building'!S14</f>
        <v>1</v>
      </c>
      <c r="J5" s="428">
        <f>'Revenue &amp; COGS Building'!T14</f>
        <v>1</v>
      </c>
      <c r="K5" s="428">
        <f>'Revenue &amp; COGS Building'!U14</f>
        <v>1</v>
      </c>
      <c r="L5" s="428">
        <f>'Revenue &amp; COGS Building'!V14</f>
        <v>1</v>
      </c>
      <c r="M5" s="428">
        <f>'Revenue &amp; COGS Building'!W14</f>
        <v>1</v>
      </c>
      <c r="N5" s="428">
        <f>'Revenue &amp; COGS Building'!X14</f>
        <v>1</v>
      </c>
      <c r="O5" s="428">
        <f>'Revenue &amp; COGS Building'!Y14</f>
        <v>1</v>
      </c>
      <c r="P5" s="428">
        <f>'Revenue &amp; COGS Building'!Z14</f>
        <v>1</v>
      </c>
      <c r="Q5" s="428">
        <f>'Revenue &amp; COGS Building'!AA14</f>
        <v>2</v>
      </c>
      <c r="R5" s="428">
        <f>'Revenue &amp; COGS Building'!AB14</f>
        <v>2</v>
      </c>
      <c r="S5" s="428">
        <f>'Revenue &amp; COGS Building'!AC14</f>
        <v>2</v>
      </c>
      <c r="T5" s="428">
        <f>'Revenue &amp; COGS Building'!AD14</f>
        <v>2</v>
      </c>
      <c r="U5" s="428">
        <f>'Revenue &amp; COGS Building'!AE14</f>
        <v>2</v>
      </c>
      <c r="V5" s="428">
        <f>'Revenue &amp; COGS Building'!AF14</f>
        <v>2</v>
      </c>
      <c r="W5" s="428">
        <f>'Revenue &amp; COGS Building'!AG14</f>
        <v>2</v>
      </c>
      <c r="X5" s="428">
        <f>'Revenue &amp; COGS Building'!AH14</f>
        <v>2</v>
      </c>
      <c r="Y5" s="428">
        <f>'Revenue &amp; COGS Building'!AI14</f>
        <v>2</v>
      </c>
      <c r="Z5" s="428">
        <f>'Revenue &amp; COGS Building'!AJ14</f>
        <v>2</v>
      </c>
      <c r="AA5" s="428">
        <f>'Revenue &amp; COGS Building'!AK14</f>
        <v>2</v>
      </c>
      <c r="AB5" s="428">
        <f>'Revenue &amp; COGS Building'!AL14</f>
        <v>2</v>
      </c>
      <c r="AC5" s="428">
        <f>'Revenue &amp; COGS Building'!AM14</f>
        <v>3</v>
      </c>
      <c r="AD5" s="428">
        <f>'Revenue &amp; COGS Building'!AN14</f>
        <v>3</v>
      </c>
      <c r="AE5" s="428">
        <f>'Revenue &amp; COGS Building'!AO14</f>
        <v>3</v>
      </c>
      <c r="AF5" s="428">
        <f>'Revenue &amp; COGS Building'!AP14</f>
        <v>3</v>
      </c>
      <c r="AG5" s="428">
        <f>'Revenue &amp; COGS Building'!AQ14</f>
        <v>3</v>
      </c>
      <c r="AH5" s="428">
        <f>'Revenue &amp; COGS Building'!AR14</f>
        <v>3</v>
      </c>
      <c r="AI5" s="428">
        <f>'Revenue &amp; COGS Building'!AS14</f>
        <v>3</v>
      </c>
      <c r="AJ5" s="428">
        <f>'Revenue &amp; COGS Building'!AT14</f>
        <v>3</v>
      </c>
      <c r="AK5" s="428">
        <f>'Revenue &amp; COGS Building'!AU14</f>
        <v>3</v>
      </c>
      <c r="AL5" s="428">
        <f>'Revenue &amp; COGS Building'!AV14</f>
        <v>3</v>
      </c>
      <c r="AM5" s="428">
        <f>'Revenue &amp; COGS Building'!AW14</f>
        <v>3</v>
      </c>
      <c r="AN5" s="428">
        <f>'Revenue &amp; COGS Building'!AX14</f>
        <v>3</v>
      </c>
    </row>
    <row r="6" spans="1:40" s="11" customFormat="1" ht="16" thickBot="1">
      <c r="A6" s="65"/>
      <c r="B6" s="346" t="s">
        <v>535</v>
      </c>
      <c r="C6" s="343">
        <f>'Historicals &amp; Projections'!C38</f>
        <v>2024</v>
      </c>
      <c r="D6" s="343">
        <f>'Historicals &amp; Projections'!D38</f>
        <v>2025</v>
      </c>
      <c r="E6" s="343">
        <f>'Revenue &amp; COGS Building'!O15</f>
        <v>2026</v>
      </c>
      <c r="F6" s="343">
        <f>'Revenue &amp; COGS Building'!P15</f>
        <v>2026</v>
      </c>
      <c r="G6" s="343">
        <f>'Revenue &amp; COGS Building'!Q15</f>
        <v>2026</v>
      </c>
      <c r="H6" s="343">
        <f>'Revenue &amp; COGS Building'!R15</f>
        <v>2026</v>
      </c>
      <c r="I6" s="343">
        <f>'Revenue &amp; COGS Building'!S15</f>
        <v>2026</v>
      </c>
      <c r="J6" s="343">
        <f>'Revenue &amp; COGS Building'!T15</f>
        <v>2026</v>
      </c>
      <c r="K6" s="343">
        <f>'Revenue &amp; COGS Building'!U15</f>
        <v>2026</v>
      </c>
      <c r="L6" s="343">
        <f>'Revenue &amp; COGS Building'!V15</f>
        <v>2026</v>
      </c>
      <c r="M6" s="343">
        <f>'Revenue &amp; COGS Building'!W15</f>
        <v>2026</v>
      </c>
      <c r="N6" s="343">
        <f>'Revenue &amp; COGS Building'!X15</f>
        <v>2026</v>
      </c>
      <c r="O6" s="343">
        <f>'Revenue &amp; COGS Building'!Y15</f>
        <v>2026</v>
      </c>
      <c r="P6" s="343">
        <f>'Revenue &amp; COGS Building'!Z15</f>
        <v>2026</v>
      </c>
      <c r="Q6" s="343">
        <f>'Revenue &amp; COGS Building'!AA15</f>
        <v>2027</v>
      </c>
      <c r="R6" s="343">
        <f>'Revenue &amp; COGS Building'!AB15</f>
        <v>2027</v>
      </c>
      <c r="S6" s="343">
        <f>'Revenue &amp; COGS Building'!AC15</f>
        <v>2027</v>
      </c>
      <c r="T6" s="343">
        <f>'Revenue &amp; COGS Building'!AD15</f>
        <v>2027</v>
      </c>
      <c r="U6" s="343">
        <f>'Revenue &amp; COGS Building'!AE15</f>
        <v>2027</v>
      </c>
      <c r="V6" s="343">
        <f>'Revenue &amp; COGS Building'!AF15</f>
        <v>2027</v>
      </c>
      <c r="W6" s="343">
        <f>'Revenue &amp; COGS Building'!AG15</f>
        <v>2027</v>
      </c>
      <c r="X6" s="343">
        <f>'Revenue &amp; COGS Building'!AH15</f>
        <v>2027</v>
      </c>
      <c r="Y6" s="343">
        <f>'Revenue &amp; COGS Building'!AI15</f>
        <v>2027</v>
      </c>
      <c r="Z6" s="343">
        <f>'Revenue &amp; COGS Building'!AJ15</f>
        <v>2027</v>
      </c>
      <c r="AA6" s="343">
        <f>'Revenue &amp; COGS Building'!AK15</f>
        <v>2027</v>
      </c>
      <c r="AB6" s="343">
        <f>'Revenue &amp; COGS Building'!AL15</f>
        <v>2027</v>
      </c>
      <c r="AC6" s="343">
        <f>'Revenue &amp; COGS Building'!AM15</f>
        <v>2028</v>
      </c>
      <c r="AD6" s="343">
        <f>'Revenue &amp; COGS Building'!AN15</f>
        <v>2028</v>
      </c>
      <c r="AE6" s="343">
        <f>'Revenue &amp; COGS Building'!AO15</f>
        <v>2028</v>
      </c>
      <c r="AF6" s="343">
        <f>'Revenue &amp; COGS Building'!AP15</f>
        <v>2028</v>
      </c>
      <c r="AG6" s="343">
        <f>'Revenue &amp; COGS Building'!AQ15</f>
        <v>2028</v>
      </c>
      <c r="AH6" s="343">
        <f>'Revenue &amp; COGS Building'!AR15</f>
        <v>2028</v>
      </c>
      <c r="AI6" s="343">
        <f>'Revenue &amp; COGS Building'!AS15</f>
        <v>2028</v>
      </c>
      <c r="AJ6" s="343">
        <f>'Revenue &amp; COGS Building'!AT15</f>
        <v>2028</v>
      </c>
      <c r="AK6" s="343">
        <f>'Revenue &amp; COGS Building'!AU15</f>
        <v>2028</v>
      </c>
      <c r="AL6" s="343">
        <f>'Revenue &amp; COGS Building'!AV15</f>
        <v>2028</v>
      </c>
      <c r="AM6" s="343">
        <f>'Revenue &amp; COGS Building'!AW15</f>
        <v>2028</v>
      </c>
      <c r="AN6" s="343">
        <f>'Revenue &amp; COGS Building'!AX15</f>
        <v>2028</v>
      </c>
    </row>
    <row r="7" spans="1:40" s="11" customFormat="1" ht="15">
      <c r="A7" s="6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</row>
    <row r="8" spans="1:40" ht="15">
      <c r="A8" s="59"/>
      <c r="B8" s="109" t="s">
        <v>415</v>
      </c>
      <c r="C8" s="484">
        <f>+'Historicals &amp; Projections'!C65</f>
        <v>1470</v>
      </c>
      <c r="D8" s="484">
        <f>+'Historicals &amp; Projections'!D65</f>
        <v>1700</v>
      </c>
      <c r="E8" s="443">
        <f>+PL!E33</f>
        <v>-165459.88398321456</v>
      </c>
      <c r="F8" s="443">
        <f>+PL!F33</f>
        <v>-163464.8869828803</v>
      </c>
      <c r="G8" s="443">
        <f>+PL!G33</f>
        <v>-161469.8899825461</v>
      </c>
      <c r="H8" s="443">
        <f>+PL!H33</f>
        <v>-124752.67075998962</v>
      </c>
      <c r="I8" s="443">
        <f>+PL!I33</f>
        <v>-122757.67375965544</v>
      </c>
      <c r="J8" s="443">
        <f>+PL!J33</f>
        <v>-120764.40073715095</v>
      </c>
      <c r="K8" s="443">
        <f>+PL!K33</f>
        <v>-118771.12771464649</v>
      </c>
      <c r="L8" s="443">
        <f>+PL!L33</f>
        <v>-116777.85469214205</v>
      </c>
      <c r="M8" s="443">
        <f>+PL!M33</f>
        <v>-114834.58166963758</v>
      </c>
      <c r="N8" s="443">
        <f>+PL!N33</f>
        <v>-112791.30864713312</v>
      </c>
      <c r="O8" s="443">
        <f>+PL!O33</f>
        <v>-110798.03562462865</v>
      </c>
      <c r="P8" s="443">
        <f>+PL!P33</f>
        <v>-108804.76260212425</v>
      </c>
      <c r="Q8" s="443">
        <f>+PL!Q33</f>
        <v>-217543.74767023177</v>
      </c>
      <c r="R8" s="443">
        <f>+PL!R33</f>
        <v>-213909.38484157756</v>
      </c>
      <c r="S8" s="443">
        <f>+PL!S33</f>
        <v>-209983.35534625672</v>
      </c>
      <c r="T8" s="443">
        <f>+PL!T33</f>
        <v>-206057.32585093586</v>
      </c>
      <c r="U8" s="443">
        <f>+PL!U33</f>
        <v>-202441.61236497329</v>
      </c>
      <c r="V8" s="443">
        <f>+PL!V33</f>
        <v>-199096.7407239305</v>
      </c>
      <c r="W8" s="443">
        <f>+PL!W33</f>
        <v>-195751.86908288774</v>
      </c>
      <c r="X8" s="443">
        <f>+PL!X33</f>
        <v>-192406.99744184493</v>
      </c>
      <c r="Y8" s="443">
        <f>+PL!Y33</f>
        <v>-189063.84977863196</v>
      </c>
      <c r="Z8" s="443">
        <f>+PL!Z33</f>
        <v>-185720.70211541897</v>
      </c>
      <c r="AA8" s="443">
        <f>+PL!AA33</f>
        <v>-182377.55445220592</v>
      </c>
      <c r="AB8" s="443">
        <f>+PL!AB33</f>
        <v>-179034.40678899287</v>
      </c>
      <c r="AC8" s="443">
        <f>+PL!AC33</f>
        <v>-174746.00734052144</v>
      </c>
      <c r="AD8" s="443">
        <f>+PL!AD33</f>
        <v>-170099.95111280304</v>
      </c>
      <c r="AE8" s="443">
        <f>+PL!AE33</f>
        <v>-165453.89488508465</v>
      </c>
      <c r="AF8" s="443">
        <f>+PL!AF33</f>
        <v>-160807.83865736643</v>
      </c>
      <c r="AG8" s="443">
        <f>+PL!AG33</f>
        <v>-156161.78242964795</v>
      </c>
      <c r="AH8" s="443">
        <f>+PL!AH33</f>
        <v>-151515.72620192959</v>
      </c>
      <c r="AI8" s="443">
        <f>+PL!AI33</f>
        <v>-146871.39395204102</v>
      </c>
      <c r="AJ8" s="443">
        <f>+PL!AJ33</f>
        <v>-142227.06170215248</v>
      </c>
      <c r="AK8" s="443">
        <f>+PL!AK33</f>
        <v>-137582.72945226385</v>
      </c>
      <c r="AL8" s="443">
        <f>+PL!AL33</f>
        <v>-132938.39720237523</v>
      </c>
      <c r="AM8" s="443">
        <f>+PL!AM33</f>
        <v>-128294.06495248669</v>
      </c>
      <c r="AN8" s="443">
        <f>+PL!AN33</f>
        <v>-123649.73270259812</v>
      </c>
    </row>
    <row r="9" spans="1:40" ht="15">
      <c r="A9" s="59"/>
      <c r="B9" s="62"/>
      <c r="C9" s="75"/>
      <c r="D9" s="75"/>
      <c r="E9" s="118"/>
      <c r="F9" s="118"/>
      <c r="G9" s="118"/>
      <c r="H9" s="118"/>
      <c r="I9" s="118"/>
      <c r="J9" s="79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</row>
    <row r="10" spans="1:40" ht="15">
      <c r="A10" s="59"/>
      <c r="B10" s="62" t="s">
        <v>418</v>
      </c>
      <c r="C10" s="75"/>
      <c r="D10" s="75"/>
      <c r="E10" s="441"/>
      <c r="F10" s="441"/>
      <c r="G10" s="441"/>
      <c r="H10" s="441"/>
      <c r="I10" s="4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  <c r="AI10" s="441"/>
      <c r="AJ10" s="441"/>
      <c r="AK10" s="441"/>
      <c r="AL10" s="441"/>
      <c r="AM10" s="441"/>
      <c r="AN10" s="441"/>
    </row>
    <row r="11" spans="1:40" ht="15">
      <c r="A11" s="59"/>
      <c r="B11" s="62" t="s">
        <v>421</v>
      </c>
      <c r="C11" s="75"/>
      <c r="D11" s="75"/>
      <c r="E11" s="441"/>
      <c r="F11" s="441"/>
      <c r="G11" s="441"/>
      <c r="H11" s="441"/>
      <c r="I11" s="441"/>
      <c r="J11" s="441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  <c r="V11" s="441"/>
      <c r="W11" s="441"/>
      <c r="X11" s="441"/>
      <c r="Y11" s="441"/>
      <c r="Z11" s="441"/>
      <c r="AA11" s="441"/>
      <c r="AB11" s="441"/>
      <c r="AC11" s="441"/>
      <c r="AD11" s="441"/>
      <c r="AE11" s="441"/>
      <c r="AF11" s="441"/>
      <c r="AG11" s="441"/>
      <c r="AH11" s="441"/>
      <c r="AI11" s="441"/>
      <c r="AJ11" s="441"/>
      <c r="AK11" s="441"/>
      <c r="AL11" s="441"/>
      <c r="AM11" s="441"/>
      <c r="AN11" s="441"/>
    </row>
    <row r="12" spans="1:40" ht="15">
      <c r="A12" s="59"/>
      <c r="B12" s="62" t="s">
        <v>422</v>
      </c>
      <c r="C12" s="75"/>
      <c r="D12" s="75"/>
      <c r="E12" s="441"/>
      <c r="F12" s="441"/>
      <c r="G12" s="441"/>
      <c r="H12" s="441"/>
      <c r="I12" s="441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1"/>
      <c r="V12" s="441"/>
      <c r="W12" s="441"/>
      <c r="X12" s="441"/>
      <c r="Y12" s="441"/>
      <c r="Z12" s="441"/>
      <c r="AA12" s="441"/>
      <c r="AB12" s="441"/>
      <c r="AC12" s="441"/>
      <c r="AD12" s="441"/>
      <c r="AE12" s="441"/>
      <c r="AF12" s="441"/>
      <c r="AG12" s="441"/>
      <c r="AH12" s="441"/>
      <c r="AI12" s="441"/>
      <c r="AJ12" s="441"/>
      <c r="AK12" s="441"/>
      <c r="AL12" s="441"/>
      <c r="AM12" s="441"/>
      <c r="AN12" s="441"/>
    </row>
    <row r="13" spans="1:40" ht="15">
      <c r="A13" s="59"/>
      <c r="B13" s="138" t="s">
        <v>420</v>
      </c>
      <c r="C13" s="75"/>
      <c r="D13" s="75"/>
      <c r="E13" s="139">
        <f>SUM(E10:E12)</f>
        <v>0</v>
      </c>
      <c r="F13" s="139">
        <f t="shared" ref="F13:P13" si="0">SUM(F10:F12)</f>
        <v>0</v>
      </c>
      <c r="G13" s="139">
        <f t="shared" si="0"/>
        <v>0</v>
      </c>
      <c r="H13" s="139">
        <f>SUM(H10:H12)</f>
        <v>0</v>
      </c>
      <c r="I13" s="139">
        <f t="shared" si="0"/>
        <v>0</v>
      </c>
      <c r="J13" s="139">
        <f t="shared" si="0"/>
        <v>0</v>
      </c>
      <c r="K13" s="139">
        <f t="shared" si="0"/>
        <v>0</v>
      </c>
      <c r="L13" s="139">
        <f t="shared" si="0"/>
        <v>0</v>
      </c>
      <c r="M13" s="139">
        <f t="shared" si="0"/>
        <v>0</v>
      </c>
      <c r="N13" s="139">
        <f t="shared" si="0"/>
        <v>0</v>
      </c>
      <c r="O13" s="139">
        <f t="shared" si="0"/>
        <v>0</v>
      </c>
      <c r="P13" s="139">
        <f t="shared" si="0"/>
        <v>0</v>
      </c>
      <c r="Q13" s="139">
        <f t="shared" ref="Q13:AK13" si="1">SUM(Q10:Q12)</f>
        <v>0</v>
      </c>
      <c r="R13" s="139">
        <f t="shared" si="1"/>
        <v>0</v>
      </c>
      <c r="S13" s="139">
        <f t="shared" si="1"/>
        <v>0</v>
      </c>
      <c r="T13" s="139">
        <f t="shared" si="1"/>
        <v>0</v>
      </c>
      <c r="U13" s="139">
        <f t="shared" si="1"/>
        <v>0</v>
      </c>
      <c r="V13" s="139">
        <f t="shared" si="1"/>
        <v>0</v>
      </c>
      <c r="W13" s="139">
        <f t="shared" si="1"/>
        <v>0</v>
      </c>
      <c r="X13" s="139">
        <f t="shared" si="1"/>
        <v>0</v>
      </c>
      <c r="Y13" s="139">
        <f t="shared" si="1"/>
        <v>0</v>
      </c>
      <c r="Z13" s="139">
        <f t="shared" si="1"/>
        <v>0</v>
      </c>
      <c r="AA13" s="139">
        <f t="shared" si="1"/>
        <v>0</v>
      </c>
      <c r="AB13" s="139">
        <f t="shared" si="1"/>
        <v>0</v>
      </c>
      <c r="AC13" s="139">
        <f t="shared" si="1"/>
        <v>0</v>
      </c>
      <c r="AD13" s="139">
        <f t="shared" si="1"/>
        <v>0</v>
      </c>
      <c r="AE13" s="139">
        <f t="shared" si="1"/>
        <v>0</v>
      </c>
      <c r="AF13" s="139">
        <f t="shared" si="1"/>
        <v>0</v>
      </c>
      <c r="AG13" s="139">
        <f t="shared" si="1"/>
        <v>0</v>
      </c>
      <c r="AH13" s="139">
        <f t="shared" si="1"/>
        <v>0</v>
      </c>
      <c r="AI13" s="139">
        <f t="shared" si="1"/>
        <v>0</v>
      </c>
      <c r="AJ13" s="139">
        <f t="shared" si="1"/>
        <v>0</v>
      </c>
      <c r="AK13" s="139">
        <f t="shared" si="1"/>
        <v>0</v>
      </c>
      <c r="AL13" s="139">
        <f t="shared" ref="AL13:AN13" si="2">SUM(AL10:AL12)</f>
        <v>0</v>
      </c>
      <c r="AM13" s="139">
        <f t="shared" si="2"/>
        <v>0</v>
      </c>
      <c r="AN13" s="139">
        <f t="shared" si="2"/>
        <v>0</v>
      </c>
    </row>
    <row r="14" spans="1:40" ht="15">
      <c r="A14" s="59"/>
      <c r="B14" s="58"/>
      <c r="C14" s="58"/>
      <c r="D14" s="75"/>
      <c r="E14" s="75"/>
      <c r="F14" s="75"/>
      <c r="G14" s="75"/>
      <c r="H14" s="75"/>
      <c r="I14" s="75"/>
      <c r="J14" s="75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</row>
    <row r="15" spans="1:40" ht="15">
      <c r="A15" s="59"/>
      <c r="B15" s="62" t="s">
        <v>424</v>
      </c>
      <c r="C15" s="75"/>
      <c r="D15" s="75"/>
      <c r="E15" s="441"/>
      <c r="F15" s="441"/>
      <c r="G15" s="441"/>
      <c r="H15" s="441"/>
      <c r="I15" s="4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1"/>
      <c r="AF15" s="441"/>
      <c r="AG15" s="441"/>
      <c r="AH15" s="441"/>
      <c r="AI15" s="441"/>
      <c r="AJ15" s="441"/>
      <c r="AK15" s="441"/>
      <c r="AL15" s="441"/>
      <c r="AM15" s="441"/>
      <c r="AN15" s="441"/>
    </row>
    <row r="16" spans="1:40" ht="15">
      <c r="A16" s="59"/>
      <c r="B16" s="62" t="s">
        <v>423</v>
      </c>
      <c r="C16" s="75"/>
      <c r="D16" s="75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441"/>
      <c r="AB16" s="441"/>
      <c r="AC16" s="441"/>
      <c r="AD16" s="441"/>
      <c r="AE16" s="441"/>
      <c r="AF16" s="441"/>
      <c r="AG16" s="441"/>
      <c r="AH16" s="441"/>
      <c r="AI16" s="441"/>
      <c r="AJ16" s="441"/>
      <c r="AK16" s="441"/>
      <c r="AL16" s="441"/>
      <c r="AM16" s="441"/>
      <c r="AN16" s="441"/>
    </row>
    <row r="17" spans="1:40" ht="15">
      <c r="A17" s="59"/>
      <c r="B17" s="62" t="s">
        <v>425</v>
      </c>
      <c r="C17" s="75"/>
      <c r="D17" s="75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1"/>
      <c r="AA17" s="441"/>
      <c r="AB17" s="441"/>
      <c r="AC17" s="441"/>
      <c r="AD17" s="441"/>
      <c r="AE17" s="441"/>
      <c r="AF17" s="441"/>
      <c r="AG17" s="441"/>
      <c r="AH17" s="441"/>
      <c r="AI17" s="441"/>
      <c r="AJ17" s="441"/>
      <c r="AK17" s="441"/>
      <c r="AL17" s="441"/>
      <c r="AM17" s="441"/>
      <c r="AN17" s="441"/>
    </row>
    <row r="18" spans="1:40" ht="15">
      <c r="A18" s="59"/>
      <c r="B18" s="138" t="s">
        <v>419</v>
      </c>
      <c r="C18" s="75"/>
      <c r="D18" s="75"/>
      <c r="E18" s="139">
        <f>SUM(E15:E17)</f>
        <v>0</v>
      </c>
      <c r="F18" s="139">
        <f>SUM(F15:F17)</f>
        <v>0</v>
      </c>
      <c r="G18" s="139">
        <f t="shared" ref="G18" si="3">SUM(G15:G17)</f>
        <v>0</v>
      </c>
      <c r="H18" s="139">
        <f t="shared" ref="H18" si="4">SUM(H15:H17)</f>
        <v>0</v>
      </c>
      <c r="I18" s="139">
        <f t="shared" ref="I18:P18" si="5">SUM(I15:I17)</f>
        <v>0</v>
      </c>
      <c r="J18" s="139">
        <f t="shared" si="5"/>
        <v>0</v>
      </c>
      <c r="K18" s="139">
        <f t="shared" si="5"/>
        <v>0</v>
      </c>
      <c r="L18" s="139">
        <f t="shared" si="5"/>
        <v>0</v>
      </c>
      <c r="M18" s="139">
        <f t="shared" si="5"/>
        <v>0</v>
      </c>
      <c r="N18" s="139">
        <f t="shared" si="5"/>
        <v>0</v>
      </c>
      <c r="O18" s="139">
        <f t="shared" si="5"/>
        <v>0</v>
      </c>
      <c r="P18" s="139">
        <f t="shared" si="5"/>
        <v>0</v>
      </c>
      <c r="Q18" s="139">
        <f t="shared" ref="Q18:AK18" si="6">SUM(Q15:Q17)</f>
        <v>0</v>
      </c>
      <c r="R18" s="139">
        <f t="shared" si="6"/>
        <v>0</v>
      </c>
      <c r="S18" s="139">
        <f t="shared" si="6"/>
        <v>0</v>
      </c>
      <c r="T18" s="139">
        <f t="shared" si="6"/>
        <v>0</v>
      </c>
      <c r="U18" s="139">
        <f t="shared" si="6"/>
        <v>0</v>
      </c>
      <c r="V18" s="139">
        <f t="shared" si="6"/>
        <v>0</v>
      </c>
      <c r="W18" s="139">
        <f t="shared" si="6"/>
        <v>0</v>
      </c>
      <c r="X18" s="139">
        <f t="shared" si="6"/>
        <v>0</v>
      </c>
      <c r="Y18" s="139">
        <f t="shared" si="6"/>
        <v>0</v>
      </c>
      <c r="Z18" s="139">
        <f t="shared" si="6"/>
        <v>0</v>
      </c>
      <c r="AA18" s="139">
        <f t="shared" si="6"/>
        <v>0</v>
      </c>
      <c r="AB18" s="139">
        <f t="shared" si="6"/>
        <v>0</v>
      </c>
      <c r="AC18" s="139">
        <f t="shared" si="6"/>
        <v>0</v>
      </c>
      <c r="AD18" s="139">
        <f t="shared" si="6"/>
        <v>0</v>
      </c>
      <c r="AE18" s="139">
        <f t="shared" si="6"/>
        <v>0</v>
      </c>
      <c r="AF18" s="139">
        <f t="shared" si="6"/>
        <v>0</v>
      </c>
      <c r="AG18" s="139">
        <f t="shared" si="6"/>
        <v>0</v>
      </c>
      <c r="AH18" s="139">
        <f t="shared" si="6"/>
        <v>0</v>
      </c>
      <c r="AI18" s="139">
        <f t="shared" si="6"/>
        <v>0</v>
      </c>
      <c r="AJ18" s="139">
        <f t="shared" si="6"/>
        <v>0</v>
      </c>
      <c r="AK18" s="139">
        <f t="shared" si="6"/>
        <v>0</v>
      </c>
      <c r="AL18" s="139">
        <f t="shared" ref="AL18:AN18" si="7">SUM(AL15:AL17)</f>
        <v>0</v>
      </c>
      <c r="AM18" s="139">
        <f t="shared" si="7"/>
        <v>0</v>
      </c>
      <c r="AN18" s="139">
        <f t="shared" si="7"/>
        <v>0</v>
      </c>
    </row>
    <row r="19" spans="1:40" ht="15">
      <c r="A19" s="59"/>
      <c r="B19" s="58"/>
      <c r="C19" s="58"/>
      <c r="D19" s="58"/>
      <c r="E19" s="58"/>
      <c r="F19" s="58"/>
      <c r="G19" s="58"/>
      <c r="H19" s="58"/>
      <c r="I19" s="58"/>
      <c r="J19" s="79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</row>
    <row r="20" spans="1:40" ht="15">
      <c r="A20" s="59"/>
      <c r="B20" s="109" t="s">
        <v>417</v>
      </c>
      <c r="C20" s="72"/>
      <c r="D20" s="72"/>
      <c r="E20" s="140">
        <f>+E8+E13-E18</f>
        <v>-165459.88398321456</v>
      </c>
      <c r="F20" s="140">
        <f t="shared" ref="F20:P20" si="8">+F8+F13-F18</f>
        <v>-163464.8869828803</v>
      </c>
      <c r="G20" s="140">
        <f t="shared" si="8"/>
        <v>-161469.8899825461</v>
      </c>
      <c r="H20" s="140">
        <f t="shared" si="8"/>
        <v>-124752.67075998962</v>
      </c>
      <c r="I20" s="140">
        <f t="shared" si="8"/>
        <v>-122757.67375965544</v>
      </c>
      <c r="J20" s="140">
        <f t="shared" si="8"/>
        <v>-120764.40073715095</v>
      </c>
      <c r="K20" s="140">
        <f>+K8+K13-K18</f>
        <v>-118771.12771464649</v>
      </c>
      <c r="L20" s="140">
        <f t="shared" si="8"/>
        <v>-116777.85469214205</v>
      </c>
      <c r="M20" s="140">
        <f t="shared" si="8"/>
        <v>-114834.58166963758</v>
      </c>
      <c r="N20" s="140">
        <f t="shared" si="8"/>
        <v>-112791.30864713312</v>
      </c>
      <c r="O20" s="140">
        <f t="shared" si="8"/>
        <v>-110798.03562462865</v>
      </c>
      <c r="P20" s="140">
        <f t="shared" si="8"/>
        <v>-108804.76260212425</v>
      </c>
      <c r="Q20" s="140">
        <f t="shared" ref="Q20:AK20" si="9">+Q8+Q13-Q18</f>
        <v>-217543.74767023177</v>
      </c>
      <c r="R20" s="140">
        <f t="shared" si="9"/>
        <v>-213909.38484157756</v>
      </c>
      <c r="S20" s="140">
        <f t="shared" si="9"/>
        <v>-209983.35534625672</v>
      </c>
      <c r="T20" s="140">
        <f t="shared" si="9"/>
        <v>-206057.32585093586</v>
      </c>
      <c r="U20" s="140">
        <f t="shared" si="9"/>
        <v>-202441.61236497329</v>
      </c>
      <c r="V20" s="140">
        <f t="shared" si="9"/>
        <v>-199096.7407239305</v>
      </c>
      <c r="W20" s="140">
        <f t="shared" si="9"/>
        <v>-195751.86908288774</v>
      </c>
      <c r="X20" s="140">
        <f t="shared" si="9"/>
        <v>-192406.99744184493</v>
      </c>
      <c r="Y20" s="140">
        <f t="shared" si="9"/>
        <v>-189063.84977863196</v>
      </c>
      <c r="Z20" s="140">
        <f t="shared" si="9"/>
        <v>-185720.70211541897</v>
      </c>
      <c r="AA20" s="140">
        <f t="shared" si="9"/>
        <v>-182377.55445220592</v>
      </c>
      <c r="AB20" s="140">
        <f t="shared" si="9"/>
        <v>-179034.40678899287</v>
      </c>
      <c r="AC20" s="140">
        <f t="shared" si="9"/>
        <v>-174746.00734052144</v>
      </c>
      <c r="AD20" s="140">
        <f t="shared" si="9"/>
        <v>-170099.95111280304</v>
      </c>
      <c r="AE20" s="140">
        <f t="shared" si="9"/>
        <v>-165453.89488508465</v>
      </c>
      <c r="AF20" s="140">
        <f t="shared" si="9"/>
        <v>-160807.83865736643</v>
      </c>
      <c r="AG20" s="140">
        <f t="shared" si="9"/>
        <v>-156161.78242964795</v>
      </c>
      <c r="AH20" s="140">
        <f t="shared" si="9"/>
        <v>-151515.72620192959</v>
      </c>
      <c r="AI20" s="140">
        <f t="shared" si="9"/>
        <v>-146871.39395204102</v>
      </c>
      <c r="AJ20" s="140">
        <f t="shared" si="9"/>
        <v>-142227.06170215248</v>
      </c>
      <c r="AK20" s="140">
        <f t="shared" si="9"/>
        <v>-137582.72945226385</v>
      </c>
      <c r="AL20" s="140">
        <f t="shared" ref="AL20:AN20" si="10">+AL8+AL13-AL18</f>
        <v>-132938.39720237523</v>
      </c>
      <c r="AM20" s="140">
        <f t="shared" si="10"/>
        <v>-128294.06495248669</v>
      </c>
      <c r="AN20" s="140">
        <f t="shared" si="10"/>
        <v>-123649.73270259812</v>
      </c>
    </row>
    <row r="21" spans="1:40" ht="15">
      <c r="A21" s="59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</row>
    <row r="22" spans="1:40" ht="15">
      <c r="A22" s="59"/>
      <c r="B22" s="57" t="s">
        <v>3</v>
      </c>
      <c r="C22" s="141">
        <f>+Assumptions!$C$7</f>
        <v>0.15</v>
      </c>
      <c r="D22" s="141">
        <f>+Assumptions!$C$7</f>
        <v>0.15</v>
      </c>
      <c r="E22" s="141">
        <f>+Assumptions!$C$7</f>
        <v>0.15</v>
      </c>
      <c r="F22" s="141">
        <f>+Assumptions!$C$7</f>
        <v>0.15</v>
      </c>
      <c r="G22" s="141">
        <f>+Assumptions!$C$7</f>
        <v>0.15</v>
      </c>
      <c r="H22" s="141">
        <f>+Assumptions!$C$7</f>
        <v>0.15</v>
      </c>
      <c r="I22" s="141">
        <f>+Assumptions!$C$7</f>
        <v>0.15</v>
      </c>
      <c r="J22" s="141">
        <f>+Assumptions!$C$7</f>
        <v>0.15</v>
      </c>
      <c r="K22" s="141">
        <f>+Assumptions!$C$7</f>
        <v>0.15</v>
      </c>
      <c r="L22" s="141">
        <f>+Assumptions!$C$7</f>
        <v>0.15</v>
      </c>
      <c r="M22" s="141">
        <f>+Assumptions!$C$7</f>
        <v>0.15</v>
      </c>
      <c r="N22" s="141">
        <f>+Assumptions!$C$7</f>
        <v>0.15</v>
      </c>
      <c r="O22" s="141">
        <f>+Assumptions!$C$7</f>
        <v>0.15</v>
      </c>
      <c r="P22" s="141">
        <f>+Assumptions!$C$7</f>
        <v>0.15</v>
      </c>
      <c r="Q22" s="141">
        <f>+Assumptions!$C$7</f>
        <v>0.15</v>
      </c>
      <c r="R22" s="141">
        <f>+Assumptions!$C$7</f>
        <v>0.15</v>
      </c>
      <c r="S22" s="141">
        <f>+Assumptions!$C$7</f>
        <v>0.15</v>
      </c>
      <c r="T22" s="141">
        <f>+Assumptions!$C$7</f>
        <v>0.15</v>
      </c>
      <c r="U22" s="141">
        <f>+Assumptions!$C$7</f>
        <v>0.15</v>
      </c>
      <c r="V22" s="141">
        <f>+Assumptions!$C$7</f>
        <v>0.15</v>
      </c>
      <c r="W22" s="141">
        <f>+Assumptions!$C$7</f>
        <v>0.15</v>
      </c>
      <c r="X22" s="141">
        <f>+Assumptions!$C$7</f>
        <v>0.15</v>
      </c>
      <c r="Y22" s="141">
        <f>+Assumptions!$C$7</f>
        <v>0.15</v>
      </c>
      <c r="Z22" s="141">
        <f>+Assumptions!$C$7</f>
        <v>0.15</v>
      </c>
      <c r="AA22" s="141">
        <f>+Assumptions!$C$7</f>
        <v>0.15</v>
      </c>
      <c r="AB22" s="141">
        <f>+Assumptions!$C$7</f>
        <v>0.15</v>
      </c>
      <c r="AC22" s="141">
        <f>+Assumptions!$C$7</f>
        <v>0.15</v>
      </c>
      <c r="AD22" s="141">
        <f>+Assumptions!$C$7</f>
        <v>0.15</v>
      </c>
      <c r="AE22" s="141">
        <f>+Assumptions!$C$7</f>
        <v>0.15</v>
      </c>
      <c r="AF22" s="141">
        <f>+Assumptions!$C$7</f>
        <v>0.15</v>
      </c>
      <c r="AG22" s="141">
        <f>+Assumptions!$C$7</f>
        <v>0.15</v>
      </c>
      <c r="AH22" s="141">
        <f>+Assumptions!$C$7</f>
        <v>0.15</v>
      </c>
      <c r="AI22" s="141">
        <f>+Assumptions!$C$7</f>
        <v>0.15</v>
      </c>
      <c r="AJ22" s="141">
        <f>+Assumptions!$C$7</f>
        <v>0.15</v>
      </c>
      <c r="AK22" s="141">
        <f>+Assumptions!$C$7</f>
        <v>0.15</v>
      </c>
      <c r="AL22" s="141">
        <f>+Assumptions!$C$7</f>
        <v>0.15</v>
      </c>
      <c r="AM22" s="141">
        <f>+Assumptions!$C$7</f>
        <v>0.15</v>
      </c>
      <c r="AN22" s="141">
        <f>+Assumptions!$C$7</f>
        <v>0.15</v>
      </c>
    </row>
    <row r="23" spans="1:40" ht="15">
      <c r="A23" s="59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</row>
    <row r="24" spans="1:40" ht="15">
      <c r="A24" s="59"/>
      <c r="B24" s="58" t="s">
        <v>37</v>
      </c>
      <c r="C24" s="481">
        <f>+'Historicals &amp; Projections'!C67</f>
        <v>280</v>
      </c>
      <c r="D24" s="481">
        <f>+'Historicals &amp; Projections'!D67</f>
        <v>310</v>
      </c>
      <c r="E24" s="442">
        <f>IF(E20&gt;0,E20*E22,0)</f>
        <v>0</v>
      </c>
      <c r="F24" s="442">
        <f t="shared" ref="F24:P24" si="11">IF(F20&gt;0,F20*F22,0)</f>
        <v>0</v>
      </c>
      <c r="G24" s="442">
        <f t="shared" si="11"/>
        <v>0</v>
      </c>
      <c r="H24" s="442">
        <f t="shared" si="11"/>
        <v>0</v>
      </c>
      <c r="I24" s="442">
        <f t="shared" si="11"/>
        <v>0</v>
      </c>
      <c r="J24" s="442">
        <f t="shared" si="11"/>
        <v>0</v>
      </c>
      <c r="K24" s="442">
        <f t="shared" si="11"/>
        <v>0</v>
      </c>
      <c r="L24" s="442">
        <f t="shared" si="11"/>
        <v>0</v>
      </c>
      <c r="M24" s="442">
        <f t="shared" si="11"/>
        <v>0</v>
      </c>
      <c r="N24" s="442">
        <f t="shared" si="11"/>
        <v>0</v>
      </c>
      <c r="O24" s="442">
        <f t="shared" si="11"/>
        <v>0</v>
      </c>
      <c r="P24" s="442">
        <f t="shared" si="11"/>
        <v>0</v>
      </c>
      <c r="Q24" s="442">
        <f t="shared" ref="Q24:AK24" si="12">IF(Q20&gt;0,Q20*Q22,0)</f>
        <v>0</v>
      </c>
      <c r="R24" s="442">
        <f t="shared" si="12"/>
        <v>0</v>
      </c>
      <c r="S24" s="442">
        <f t="shared" si="12"/>
        <v>0</v>
      </c>
      <c r="T24" s="442">
        <f t="shared" si="12"/>
        <v>0</v>
      </c>
      <c r="U24" s="442">
        <f t="shared" si="12"/>
        <v>0</v>
      </c>
      <c r="V24" s="442">
        <f t="shared" si="12"/>
        <v>0</v>
      </c>
      <c r="W24" s="442">
        <f t="shared" si="12"/>
        <v>0</v>
      </c>
      <c r="X24" s="442">
        <f t="shared" si="12"/>
        <v>0</v>
      </c>
      <c r="Y24" s="442">
        <f t="shared" si="12"/>
        <v>0</v>
      </c>
      <c r="Z24" s="442">
        <f t="shared" si="12"/>
        <v>0</v>
      </c>
      <c r="AA24" s="442">
        <f t="shared" si="12"/>
        <v>0</v>
      </c>
      <c r="AB24" s="442">
        <f t="shared" si="12"/>
        <v>0</v>
      </c>
      <c r="AC24" s="442">
        <f t="shared" si="12"/>
        <v>0</v>
      </c>
      <c r="AD24" s="442">
        <f t="shared" si="12"/>
        <v>0</v>
      </c>
      <c r="AE24" s="442">
        <f t="shared" si="12"/>
        <v>0</v>
      </c>
      <c r="AF24" s="442">
        <f t="shared" si="12"/>
        <v>0</v>
      </c>
      <c r="AG24" s="442">
        <f t="shared" si="12"/>
        <v>0</v>
      </c>
      <c r="AH24" s="442">
        <f t="shared" si="12"/>
        <v>0</v>
      </c>
      <c r="AI24" s="442">
        <f t="shared" si="12"/>
        <v>0</v>
      </c>
      <c r="AJ24" s="442">
        <f t="shared" si="12"/>
        <v>0</v>
      </c>
      <c r="AK24" s="442">
        <f t="shared" si="12"/>
        <v>0</v>
      </c>
      <c r="AL24" s="442">
        <f>IF(AL20&gt;0,AL20*AL22,0)</f>
        <v>0</v>
      </c>
      <c r="AM24" s="442">
        <f t="shared" ref="AM24:AN24" si="13">IF(AM20&gt;0,AM20*AM22,0)</f>
        <v>0</v>
      </c>
      <c r="AN24" s="442">
        <f t="shared" si="13"/>
        <v>0</v>
      </c>
    </row>
    <row r="25" spans="1:40" ht="15">
      <c r="A25" s="59"/>
      <c r="B25" s="138"/>
      <c r="C25" s="144"/>
      <c r="D25" s="144"/>
      <c r="E25" s="145"/>
      <c r="F25" s="145"/>
      <c r="G25" s="145"/>
      <c r="H25" s="145"/>
      <c r="I25" s="145"/>
      <c r="J25" s="57"/>
      <c r="K25" s="57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</row>
    <row r="26" spans="1:40" ht="15">
      <c r="A26" s="59"/>
      <c r="B26" s="57" t="s">
        <v>416</v>
      </c>
      <c r="C26" s="146">
        <f t="shared" ref="C26:P26" si="14">+C24/C8</f>
        <v>0.19047619047619047</v>
      </c>
      <c r="D26" s="146">
        <f t="shared" si="14"/>
        <v>0.18235294117647058</v>
      </c>
      <c r="E26" s="146">
        <f t="shared" si="14"/>
        <v>0</v>
      </c>
      <c r="F26" s="146">
        <f t="shared" si="14"/>
        <v>0</v>
      </c>
      <c r="G26" s="146">
        <f t="shared" si="14"/>
        <v>0</v>
      </c>
      <c r="H26" s="146">
        <f t="shared" si="14"/>
        <v>0</v>
      </c>
      <c r="I26" s="146">
        <f t="shared" si="14"/>
        <v>0</v>
      </c>
      <c r="J26" s="146">
        <f t="shared" si="14"/>
        <v>0</v>
      </c>
      <c r="K26" s="146">
        <f t="shared" si="14"/>
        <v>0</v>
      </c>
      <c r="L26" s="146">
        <f t="shared" si="14"/>
        <v>0</v>
      </c>
      <c r="M26" s="146">
        <f t="shared" si="14"/>
        <v>0</v>
      </c>
      <c r="N26" s="146">
        <f t="shared" si="14"/>
        <v>0</v>
      </c>
      <c r="O26" s="146">
        <f t="shared" si="14"/>
        <v>0</v>
      </c>
      <c r="P26" s="146">
        <f t="shared" si="14"/>
        <v>0</v>
      </c>
      <c r="Q26" s="146">
        <f t="shared" ref="Q26:AK26" si="15">+Q24/Q8</f>
        <v>0</v>
      </c>
      <c r="R26" s="146">
        <f t="shared" si="15"/>
        <v>0</v>
      </c>
      <c r="S26" s="146">
        <f t="shared" si="15"/>
        <v>0</v>
      </c>
      <c r="T26" s="146">
        <f t="shared" si="15"/>
        <v>0</v>
      </c>
      <c r="U26" s="146">
        <f t="shared" si="15"/>
        <v>0</v>
      </c>
      <c r="V26" s="146">
        <f t="shared" si="15"/>
        <v>0</v>
      </c>
      <c r="W26" s="146">
        <f t="shared" si="15"/>
        <v>0</v>
      </c>
      <c r="X26" s="146">
        <f t="shared" si="15"/>
        <v>0</v>
      </c>
      <c r="Y26" s="146">
        <f t="shared" si="15"/>
        <v>0</v>
      </c>
      <c r="Z26" s="146">
        <f t="shared" si="15"/>
        <v>0</v>
      </c>
      <c r="AA26" s="146">
        <f t="shared" si="15"/>
        <v>0</v>
      </c>
      <c r="AB26" s="146">
        <f t="shared" si="15"/>
        <v>0</v>
      </c>
      <c r="AC26" s="146">
        <f t="shared" si="15"/>
        <v>0</v>
      </c>
      <c r="AD26" s="146">
        <f t="shared" si="15"/>
        <v>0</v>
      </c>
      <c r="AE26" s="146">
        <f t="shared" si="15"/>
        <v>0</v>
      </c>
      <c r="AF26" s="146">
        <f t="shared" si="15"/>
        <v>0</v>
      </c>
      <c r="AG26" s="146">
        <f t="shared" si="15"/>
        <v>0</v>
      </c>
      <c r="AH26" s="146">
        <f t="shared" si="15"/>
        <v>0</v>
      </c>
      <c r="AI26" s="146">
        <f t="shared" si="15"/>
        <v>0</v>
      </c>
      <c r="AJ26" s="146">
        <f t="shared" si="15"/>
        <v>0</v>
      </c>
      <c r="AK26" s="146">
        <f t="shared" si="15"/>
        <v>0</v>
      </c>
      <c r="AL26" s="146">
        <f t="shared" ref="AL26:AN26" si="16">+AL24/AL8</f>
        <v>0</v>
      </c>
      <c r="AM26" s="146">
        <f t="shared" si="16"/>
        <v>0</v>
      </c>
      <c r="AN26" s="146">
        <f t="shared" si="16"/>
        <v>0</v>
      </c>
    </row>
    <row r="27" spans="1:40" ht="15">
      <c r="A27" s="59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</row>
    <row r="28" spans="1:40" ht="15">
      <c r="A28" s="59"/>
      <c r="B28" s="66" t="s">
        <v>21</v>
      </c>
      <c r="C28" s="135">
        <f>+'Historicals &amp; Projections'!C67-'Income Tax'!C24</f>
        <v>0</v>
      </c>
      <c r="D28" s="135">
        <f>+'Historicals &amp; Projections'!D67-'Income Tax'!D24</f>
        <v>0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</row>
    <row r="29" spans="1:40" ht="15">
      <c r="A29" s="59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</row>
    <row r="30" spans="1:40" ht="15">
      <c r="A30" s="59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</row>
    <row r="31" spans="1:40" ht="15">
      <c r="A31" s="59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</row>
    <row r="32" spans="1:40" ht="15">
      <c r="A32" s="59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</row>
    <row r="33" spans="1:40" ht="15">
      <c r="A33" s="59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</row>
    <row r="34" spans="1:40" ht="15">
      <c r="A34" s="59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</row>
    <row r="35" spans="1:40" ht="15">
      <c r="A35" s="59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</row>
    <row r="36" spans="1:40" ht="15">
      <c r="A36" s="59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</row>
    <row r="87" spans="1:1" s="12" customFormat="1">
      <c r="A87" s="18">
        <v>2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/>
  </sheetPr>
  <dimension ref="A1:AQ112"/>
  <sheetViews>
    <sheetView showGridLines="0" zoomScaleNormal="100" workbookViewId="0">
      <pane xSplit="4" topLeftCell="E1" activePane="topRight" state="frozen"/>
      <selection pane="topRight" activeCell="E8" sqref="E8"/>
    </sheetView>
  </sheetViews>
  <sheetFormatPr baseColWidth="10" defaultColWidth="8.83203125" defaultRowHeight="14"/>
  <cols>
    <col min="1" max="1" width="2.5" style="21" customWidth="1"/>
    <col min="2" max="2" width="31" style="16" customWidth="1"/>
    <col min="3" max="40" width="11.1640625" style="16" customWidth="1"/>
    <col min="41" max="16384" width="8.83203125" style="16"/>
  </cols>
  <sheetData>
    <row r="1" spans="1:43" s="323" customFormat="1" ht="16">
      <c r="A1" s="297" t="s">
        <v>414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</row>
    <row r="2" spans="1:43" ht="15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</row>
    <row r="3" spans="1:43" ht="15">
      <c r="A3" s="59"/>
      <c r="B3" s="176" t="s">
        <v>534</v>
      </c>
      <c r="C3" s="58"/>
      <c r="D3" s="58"/>
      <c r="E3" s="163">
        <f>'Revenue &amp; COGS Building'!O12</f>
        <v>46053</v>
      </c>
      <c r="F3" s="163">
        <f>'Revenue &amp; COGS Building'!P12</f>
        <v>46054</v>
      </c>
      <c r="G3" s="163">
        <f>'Revenue &amp; COGS Building'!Q12</f>
        <v>46082</v>
      </c>
      <c r="H3" s="163">
        <f>'Revenue &amp; COGS Building'!R12</f>
        <v>46113</v>
      </c>
      <c r="I3" s="163">
        <f>'Revenue &amp; COGS Building'!S12</f>
        <v>46143</v>
      </c>
      <c r="J3" s="163">
        <f>'Revenue &amp; COGS Building'!T12</f>
        <v>46174</v>
      </c>
      <c r="K3" s="163">
        <f>'Revenue &amp; COGS Building'!U12</f>
        <v>46204</v>
      </c>
      <c r="L3" s="163">
        <f>'Revenue &amp; COGS Building'!V12</f>
        <v>46235</v>
      </c>
      <c r="M3" s="163">
        <f>'Revenue &amp; COGS Building'!W12</f>
        <v>46266</v>
      </c>
      <c r="N3" s="163">
        <f>'Revenue &amp; COGS Building'!X12</f>
        <v>46296</v>
      </c>
      <c r="O3" s="163">
        <f>'Revenue &amp; COGS Building'!Y12</f>
        <v>46327</v>
      </c>
      <c r="P3" s="163">
        <f>'Revenue &amp; COGS Building'!Z12</f>
        <v>46357</v>
      </c>
      <c r="Q3" s="163">
        <f>'Revenue &amp; COGS Building'!AA12</f>
        <v>46388</v>
      </c>
      <c r="R3" s="163">
        <f>'Revenue &amp; COGS Building'!AB12</f>
        <v>46419</v>
      </c>
      <c r="S3" s="163">
        <f>'Revenue &amp; COGS Building'!AC12</f>
        <v>46447</v>
      </c>
      <c r="T3" s="163">
        <f>'Revenue &amp; COGS Building'!AD12</f>
        <v>46478</v>
      </c>
      <c r="U3" s="163">
        <f>'Revenue &amp; COGS Building'!AE12</f>
        <v>46508</v>
      </c>
      <c r="V3" s="163">
        <f>'Revenue &amp; COGS Building'!AF12</f>
        <v>46539</v>
      </c>
      <c r="W3" s="163">
        <f>'Revenue &amp; COGS Building'!AG12</f>
        <v>46569</v>
      </c>
      <c r="X3" s="163">
        <f>'Revenue &amp; COGS Building'!AH12</f>
        <v>46600</v>
      </c>
      <c r="Y3" s="163">
        <f>'Revenue &amp; COGS Building'!AI12</f>
        <v>46631</v>
      </c>
      <c r="Z3" s="163">
        <f>'Revenue &amp; COGS Building'!AJ12</f>
        <v>46661</v>
      </c>
      <c r="AA3" s="163">
        <f>'Revenue &amp; COGS Building'!AK12</f>
        <v>46692</v>
      </c>
      <c r="AB3" s="163">
        <f>'Revenue &amp; COGS Building'!AL12</f>
        <v>46722</v>
      </c>
      <c r="AC3" s="163">
        <f>'Revenue &amp; COGS Building'!AM12</f>
        <v>46753</v>
      </c>
      <c r="AD3" s="163">
        <f>'Revenue &amp; COGS Building'!AN12</f>
        <v>46784</v>
      </c>
      <c r="AE3" s="163">
        <f>'Revenue &amp; COGS Building'!AO12</f>
        <v>46813</v>
      </c>
      <c r="AF3" s="163">
        <f>'Revenue &amp; COGS Building'!AP12</f>
        <v>46844</v>
      </c>
      <c r="AG3" s="163">
        <f>'Revenue &amp; COGS Building'!AQ12</f>
        <v>46874</v>
      </c>
      <c r="AH3" s="163">
        <f>'Revenue &amp; COGS Building'!AR12</f>
        <v>46905</v>
      </c>
      <c r="AI3" s="163">
        <f>'Revenue &amp; COGS Building'!AS12</f>
        <v>46935</v>
      </c>
      <c r="AJ3" s="163">
        <f>'Revenue &amp; COGS Building'!AT12</f>
        <v>46966</v>
      </c>
      <c r="AK3" s="163">
        <f>'Revenue &amp; COGS Building'!AU12</f>
        <v>46997</v>
      </c>
      <c r="AL3" s="163">
        <f>'Revenue &amp; COGS Building'!AV12</f>
        <v>47027</v>
      </c>
      <c r="AM3" s="163">
        <f>'Revenue &amp; COGS Building'!AW12</f>
        <v>47058</v>
      </c>
      <c r="AN3" s="163">
        <f>'Revenue &amp; COGS Building'!AX12</f>
        <v>47088</v>
      </c>
      <c r="AO3" s="58"/>
      <c r="AP3" s="58"/>
      <c r="AQ3" s="58"/>
    </row>
    <row r="4" spans="1:43" s="11" customFormat="1" ht="15">
      <c r="A4" s="65"/>
      <c r="B4" s="176" t="s">
        <v>532</v>
      </c>
      <c r="C4" s="58"/>
      <c r="D4" s="58"/>
      <c r="E4" s="428">
        <f>'Revenue &amp; COGS Building'!O13</f>
        <v>1</v>
      </c>
      <c r="F4" s="428">
        <f>'Revenue &amp; COGS Building'!P13</f>
        <v>2</v>
      </c>
      <c r="G4" s="428">
        <f>'Revenue &amp; COGS Building'!Q13</f>
        <v>3</v>
      </c>
      <c r="H4" s="428">
        <f>'Revenue &amp; COGS Building'!R13</f>
        <v>4</v>
      </c>
      <c r="I4" s="428">
        <f>'Revenue &amp; COGS Building'!S13</f>
        <v>5</v>
      </c>
      <c r="J4" s="428">
        <f>'Revenue &amp; COGS Building'!T13</f>
        <v>6</v>
      </c>
      <c r="K4" s="428">
        <f>'Revenue &amp; COGS Building'!U13</f>
        <v>7</v>
      </c>
      <c r="L4" s="428">
        <f>'Revenue &amp; COGS Building'!V13</f>
        <v>8</v>
      </c>
      <c r="M4" s="428">
        <f>'Revenue &amp; COGS Building'!W13</f>
        <v>9</v>
      </c>
      <c r="N4" s="428">
        <f>'Revenue &amp; COGS Building'!X13</f>
        <v>10</v>
      </c>
      <c r="O4" s="428">
        <f>'Revenue &amp; COGS Building'!Y13</f>
        <v>11</v>
      </c>
      <c r="P4" s="428">
        <f>'Revenue &amp; COGS Building'!Z13</f>
        <v>12</v>
      </c>
      <c r="Q4" s="428">
        <f>'Revenue &amp; COGS Building'!AA13</f>
        <v>13</v>
      </c>
      <c r="R4" s="428">
        <f>'Revenue &amp; COGS Building'!AB13</f>
        <v>14</v>
      </c>
      <c r="S4" s="428">
        <f>'Revenue &amp; COGS Building'!AC13</f>
        <v>15</v>
      </c>
      <c r="T4" s="428">
        <f>'Revenue &amp; COGS Building'!AD13</f>
        <v>16</v>
      </c>
      <c r="U4" s="428">
        <f>'Revenue &amp; COGS Building'!AE13</f>
        <v>17</v>
      </c>
      <c r="V4" s="428">
        <f>'Revenue &amp; COGS Building'!AF13</f>
        <v>18</v>
      </c>
      <c r="W4" s="428">
        <f>'Revenue &amp; COGS Building'!AG13</f>
        <v>19</v>
      </c>
      <c r="X4" s="428">
        <f>'Revenue &amp; COGS Building'!AH13</f>
        <v>20</v>
      </c>
      <c r="Y4" s="428">
        <f>'Revenue &amp; COGS Building'!AI13</f>
        <v>21</v>
      </c>
      <c r="Z4" s="428">
        <f>'Revenue &amp; COGS Building'!AJ13</f>
        <v>22</v>
      </c>
      <c r="AA4" s="428">
        <f>'Revenue &amp; COGS Building'!AK13</f>
        <v>23</v>
      </c>
      <c r="AB4" s="428">
        <f>'Revenue &amp; COGS Building'!AL13</f>
        <v>24</v>
      </c>
      <c r="AC4" s="428">
        <f>'Revenue &amp; COGS Building'!AM13</f>
        <v>25</v>
      </c>
      <c r="AD4" s="428">
        <f>'Revenue &amp; COGS Building'!AN13</f>
        <v>26</v>
      </c>
      <c r="AE4" s="428">
        <f>'Revenue &amp; COGS Building'!AO13</f>
        <v>27</v>
      </c>
      <c r="AF4" s="428">
        <f>'Revenue &amp; COGS Building'!AP13</f>
        <v>28</v>
      </c>
      <c r="AG4" s="428">
        <f>'Revenue &amp; COGS Building'!AQ13</f>
        <v>29</v>
      </c>
      <c r="AH4" s="428">
        <f>'Revenue &amp; COGS Building'!AR13</f>
        <v>30</v>
      </c>
      <c r="AI4" s="428">
        <f>'Revenue &amp; COGS Building'!AS13</f>
        <v>31</v>
      </c>
      <c r="AJ4" s="428">
        <f>'Revenue &amp; COGS Building'!AT13</f>
        <v>32</v>
      </c>
      <c r="AK4" s="428">
        <f>'Revenue &amp; COGS Building'!AU13</f>
        <v>33</v>
      </c>
      <c r="AL4" s="428">
        <f>'Revenue &amp; COGS Building'!AV13</f>
        <v>34</v>
      </c>
      <c r="AM4" s="428">
        <f>'Revenue &amp; COGS Building'!AW13</f>
        <v>35</v>
      </c>
      <c r="AN4" s="428">
        <f>'Revenue &amp; COGS Building'!AX13</f>
        <v>36</v>
      </c>
      <c r="AO4" s="62"/>
      <c r="AP4" s="62"/>
      <c r="AQ4" s="62"/>
    </row>
    <row r="5" spans="1:43" s="11" customFormat="1" ht="15">
      <c r="A5" s="65"/>
      <c r="B5" s="176" t="s">
        <v>533</v>
      </c>
      <c r="C5" s="58"/>
      <c r="D5" s="58"/>
      <c r="E5" s="428">
        <f>'Revenue &amp; COGS Building'!O14</f>
        <v>1</v>
      </c>
      <c r="F5" s="428">
        <f>'Revenue &amp; COGS Building'!P14</f>
        <v>1</v>
      </c>
      <c r="G5" s="428">
        <f>'Revenue &amp; COGS Building'!Q14</f>
        <v>1</v>
      </c>
      <c r="H5" s="428">
        <f>'Revenue &amp; COGS Building'!R14</f>
        <v>1</v>
      </c>
      <c r="I5" s="428">
        <f>'Revenue &amp; COGS Building'!S14</f>
        <v>1</v>
      </c>
      <c r="J5" s="428">
        <f>'Revenue &amp; COGS Building'!T14</f>
        <v>1</v>
      </c>
      <c r="K5" s="428">
        <f>'Revenue &amp; COGS Building'!U14</f>
        <v>1</v>
      </c>
      <c r="L5" s="428">
        <f>'Revenue &amp; COGS Building'!V14</f>
        <v>1</v>
      </c>
      <c r="M5" s="428">
        <f>'Revenue &amp; COGS Building'!W14</f>
        <v>1</v>
      </c>
      <c r="N5" s="428">
        <f>'Revenue &amp; COGS Building'!X14</f>
        <v>1</v>
      </c>
      <c r="O5" s="428">
        <f>'Revenue &amp; COGS Building'!Y14</f>
        <v>1</v>
      </c>
      <c r="P5" s="428">
        <f>'Revenue &amp; COGS Building'!Z14</f>
        <v>1</v>
      </c>
      <c r="Q5" s="428">
        <f>'Revenue &amp; COGS Building'!AA14</f>
        <v>2</v>
      </c>
      <c r="R5" s="428">
        <f>'Revenue &amp; COGS Building'!AB14</f>
        <v>2</v>
      </c>
      <c r="S5" s="428">
        <f>'Revenue &amp; COGS Building'!AC14</f>
        <v>2</v>
      </c>
      <c r="T5" s="428">
        <f>'Revenue &amp; COGS Building'!AD14</f>
        <v>2</v>
      </c>
      <c r="U5" s="428">
        <f>'Revenue &amp; COGS Building'!AE14</f>
        <v>2</v>
      </c>
      <c r="V5" s="428">
        <f>'Revenue &amp; COGS Building'!AF14</f>
        <v>2</v>
      </c>
      <c r="W5" s="428">
        <f>'Revenue &amp; COGS Building'!AG14</f>
        <v>2</v>
      </c>
      <c r="X5" s="428">
        <f>'Revenue &amp; COGS Building'!AH14</f>
        <v>2</v>
      </c>
      <c r="Y5" s="428">
        <f>'Revenue &amp; COGS Building'!AI14</f>
        <v>2</v>
      </c>
      <c r="Z5" s="428">
        <f>'Revenue &amp; COGS Building'!AJ14</f>
        <v>2</v>
      </c>
      <c r="AA5" s="428">
        <f>'Revenue &amp; COGS Building'!AK14</f>
        <v>2</v>
      </c>
      <c r="AB5" s="428">
        <f>'Revenue &amp; COGS Building'!AL14</f>
        <v>2</v>
      </c>
      <c r="AC5" s="428">
        <f>'Revenue &amp; COGS Building'!AM14</f>
        <v>3</v>
      </c>
      <c r="AD5" s="428">
        <f>'Revenue &amp; COGS Building'!AN14</f>
        <v>3</v>
      </c>
      <c r="AE5" s="428">
        <f>'Revenue &amp; COGS Building'!AO14</f>
        <v>3</v>
      </c>
      <c r="AF5" s="428">
        <f>'Revenue &amp; COGS Building'!AP14</f>
        <v>3</v>
      </c>
      <c r="AG5" s="428">
        <f>'Revenue &amp; COGS Building'!AQ14</f>
        <v>3</v>
      </c>
      <c r="AH5" s="428">
        <f>'Revenue &amp; COGS Building'!AR14</f>
        <v>3</v>
      </c>
      <c r="AI5" s="428">
        <f>'Revenue &amp; COGS Building'!AS14</f>
        <v>3</v>
      </c>
      <c r="AJ5" s="428">
        <f>'Revenue &amp; COGS Building'!AT14</f>
        <v>3</v>
      </c>
      <c r="AK5" s="428">
        <f>'Revenue &amp; COGS Building'!AU14</f>
        <v>3</v>
      </c>
      <c r="AL5" s="428">
        <f>'Revenue &amp; COGS Building'!AV14</f>
        <v>3</v>
      </c>
      <c r="AM5" s="428">
        <f>'Revenue &amp; COGS Building'!AW14</f>
        <v>3</v>
      </c>
      <c r="AN5" s="428">
        <f>'Revenue &amp; COGS Building'!AX14</f>
        <v>3</v>
      </c>
      <c r="AO5" s="62"/>
      <c r="AP5" s="62"/>
      <c r="AQ5" s="62"/>
    </row>
    <row r="6" spans="1:43" s="11" customFormat="1" ht="16" thickBot="1">
      <c r="A6" s="65"/>
      <c r="B6" s="346" t="s">
        <v>535</v>
      </c>
      <c r="C6" s="343">
        <f>'Historicals &amp; Projections'!C6</f>
        <v>2024</v>
      </c>
      <c r="D6" s="343">
        <f>'Historicals &amp; Projections'!D6</f>
        <v>2025</v>
      </c>
      <c r="E6" s="343">
        <f>'Revenue &amp; COGS Building'!O15</f>
        <v>2026</v>
      </c>
      <c r="F6" s="343">
        <f>'Revenue &amp; COGS Building'!P15</f>
        <v>2026</v>
      </c>
      <c r="G6" s="343">
        <f>'Revenue &amp; COGS Building'!Q15</f>
        <v>2026</v>
      </c>
      <c r="H6" s="343">
        <f>'Revenue &amp; COGS Building'!R15</f>
        <v>2026</v>
      </c>
      <c r="I6" s="343">
        <f>'Revenue &amp; COGS Building'!S15</f>
        <v>2026</v>
      </c>
      <c r="J6" s="343">
        <f>'Revenue &amp; COGS Building'!T15</f>
        <v>2026</v>
      </c>
      <c r="K6" s="343">
        <f>'Revenue &amp; COGS Building'!U15</f>
        <v>2026</v>
      </c>
      <c r="L6" s="343">
        <f>'Revenue &amp; COGS Building'!V15</f>
        <v>2026</v>
      </c>
      <c r="M6" s="343">
        <f>'Revenue &amp; COGS Building'!W15</f>
        <v>2026</v>
      </c>
      <c r="N6" s="343">
        <f>'Revenue &amp; COGS Building'!X15</f>
        <v>2026</v>
      </c>
      <c r="O6" s="343">
        <f>'Revenue &amp; COGS Building'!Y15</f>
        <v>2026</v>
      </c>
      <c r="P6" s="343">
        <f>'Revenue &amp; COGS Building'!Z15</f>
        <v>2026</v>
      </c>
      <c r="Q6" s="343">
        <f>'Revenue &amp; COGS Building'!AA15</f>
        <v>2027</v>
      </c>
      <c r="R6" s="343">
        <f>'Revenue &amp; COGS Building'!AB15</f>
        <v>2027</v>
      </c>
      <c r="S6" s="343">
        <f>'Revenue &amp; COGS Building'!AC15</f>
        <v>2027</v>
      </c>
      <c r="T6" s="343">
        <f>'Revenue &amp; COGS Building'!AD15</f>
        <v>2027</v>
      </c>
      <c r="U6" s="343">
        <f>'Revenue &amp; COGS Building'!AE15</f>
        <v>2027</v>
      </c>
      <c r="V6" s="343">
        <f>'Revenue &amp; COGS Building'!AF15</f>
        <v>2027</v>
      </c>
      <c r="W6" s="343">
        <f>'Revenue &amp; COGS Building'!AG15</f>
        <v>2027</v>
      </c>
      <c r="X6" s="343">
        <f>'Revenue &amp; COGS Building'!AH15</f>
        <v>2027</v>
      </c>
      <c r="Y6" s="343">
        <f>'Revenue &amp; COGS Building'!AI15</f>
        <v>2027</v>
      </c>
      <c r="Z6" s="343">
        <f>'Revenue &amp; COGS Building'!AJ15</f>
        <v>2027</v>
      </c>
      <c r="AA6" s="343">
        <f>'Revenue &amp; COGS Building'!AK15</f>
        <v>2027</v>
      </c>
      <c r="AB6" s="343">
        <f>'Revenue &amp; COGS Building'!AL15</f>
        <v>2027</v>
      </c>
      <c r="AC6" s="343">
        <f>'Revenue &amp; COGS Building'!AM15</f>
        <v>2028</v>
      </c>
      <c r="AD6" s="343">
        <f>'Revenue &amp; COGS Building'!AN15</f>
        <v>2028</v>
      </c>
      <c r="AE6" s="343">
        <f>'Revenue &amp; COGS Building'!AO15</f>
        <v>2028</v>
      </c>
      <c r="AF6" s="343">
        <f>'Revenue &amp; COGS Building'!AP15</f>
        <v>2028</v>
      </c>
      <c r="AG6" s="343">
        <f>'Revenue &amp; COGS Building'!AQ15</f>
        <v>2028</v>
      </c>
      <c r="AH6" s="343">
        <f>'Revenue &amp; COGS Building'!AR15</f>
        <v>2028</v>
      </c>
      <c r="AI6" s="343">
        <f>'Revenue &amp; COGS Building'!AS15</f>
        <v>2028</v>
      </c>
      <c r="AJ6" s="343">
        <f>'Revenue &amp; COGS Building'!AT15</f>
        <v>2028</v>
      </c>
      <c r="AK6" s="343">
        <f>'Revenue &amp; COGS Building'!AU15</f>
        <v>2028</v>
      </c>
      <c r="AL6" s="343">
        <f>'Revenue &amp; COGS Building'!AV15</f>
        <v>2028</v>
      </c>
      <c r="AM6" s="343">
        <f>'Revenue &amp; COGS Building'!AW15</f>
        <v>2028</v>
      </c>
      <c r="AN6" s="343">
        <f>'Revenue &amp; COGS Building'!AX15</f>
        <v>2028</v>
      </c>
      <c r="AO6" s="182"/>
      <c r="AP6" s="182"/>
      <c r="AQ6" s="182"/>
    </row>
    <row r="7" spans="1:43" s="11" customFormat="1" ht="15">
      <c r="A7" s="65"/>
      <c r="B7" s="56"/>
      <c r="C7" s="68"/>
      <c r="D7" s="68"/>
      <c r="E7" s="62"/>
      <c r="F7" s="62"/>
      <c r="G7" s="62"/>
      <c r="H7" s="62"/>
      <c r="I7" s="62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62"/>
      <c r="AP7" s="62"/>
      <c r="AQ7" s="62"/>
    </row>
    <row r="8" spans="1:43" s="11" customFormat="1" ht="15">
      <c r="A8" s="65"/>
      <c r="B8" s="109" t="s">
        <v>246</v>
      </c>
      <c r="C8" s="491">
        <f>'Historicals &amp; Projections'!C40</f>
        <v>10000</v>
      </c>
      <c r="D8" s="491">
        <f>'Historicals &amp; Projections'!D40</f>
        <v>11000</v>
      </c>
      <c r="E8" s="492">
        <f>+'Revenue &amp; COGS Building'!O67</f>
        <v>24166.666666666668</v>
      </c>
      <c r="F8" s="492">
        <f>+'Revenue &amp; COGS Building'!P67</f>
        <v>32391.666666666668</v>
      </c>
      <c r="G8" s="492">
        <f>+'Revenue &amp; COGS Building'!Q67</f>
        <v>40616.666666666664</v>
      </c>
      <c r="H8" s="492">
        <f>+'Revenue &amp; COGS Building'!R67</f>
        <v>48841.666666666664</v>
      </c>
      <c r="I8" s="492">
        <f>+'Revenue &amp; COGS Building'!S67</f>
        <v>57066.666666666664</v>
      </c>
      <c r="J8" s="492">
        <f>+'Revenue &amp; COGS Building'!T67</f>
        <v>65283.333333333336</v>
      </c>
      <c r="K8" s="492">
        <f>+'Revenue &amp; COGS Building'!U67</f>
        <v>73500</v>
      </c>
      <c r="L8" s="492">
        <f>+'Revenue &amp; COGS Building'!V67</f>
        <v>81716.666666666672</v>
      </c>
      <c r="M8" s="492">
        <f>+'Revenue &amp; COGS Building'!W67</f>
        <v>89933.333333333328</v>
      </c>
      <c r="N8" s="492">
        <f>+'Revenue &amp; COGS Building'!X67</f>
        <v>98150</v>
      </c>
      <c r="O8" s="492">
        <f>+'Revenue &amp; COGS Building'!Y67</f>
        <v>106366.66666666667</v>
      </c>
      <c r="P8" s="492">
        <f>+'Revenue &amp; COGS Building'!Z67</f>
        <v>114583.33333333333</v>
      </c>
      <c r="Q8" s="492">
        <f>+'Revenue &amp; COGS Building'!AA67</f>
        <v>195700</v>
      </c>
      <c r="R8" s="492">
        <f>+'Revenue &amp; COGS Building'!AB67</f>
        <v>212550</v>
      </c>
      <c r="S8" s="492">
        <f>+'Revenue &amp; COGS Building'!AC67</f>
        <v>229400</v>
      </c>
      <c r="T8" s="492">
        <f>+'Revenue &amp; COGS Building'!AD67</f>
        <v>246250</v>
      </c>
      <c r="U8" s="492">
        <f>+'Revenue &amp; COGS Building'!AE67</f>
        <v>261600</v>
      </c>
      <c r="V8" s="492">
        <f>+'Revenue &amp; COGS Building'!AF67</f>
        <v>276350</v>
      </c>
      <c r="W8" s="492">
        <f>+'Revenue &amp; COGS Building'!AG67</f>
        <v>291100</v>
      </c>
      <c r="X8" s="492">
        <f>+'Revenue &amp; COGS Building'!AH67</f>
        <v>305850</v>
      </c>
      <c r="Y8" s="492">
        <f>+'Revenue &amp; COGS Building'!AI67</f>
        <v>320591.66666666669</v>
      </c>
      <c r="Z8" s="492">
        <f>+'Revenue &amp; COGS Building'!AJ67</f>
        <v>335333.33333333331</v>
      </c>
      <c r="AA8" s="492">
        <f>+'Revenue &amp; COGS Building'!AK67</f>
        <v>350075</v>
      </c>
      <c r="AB8" s="492">
        <f>+'Revenue &amp; COGS Building'!AL67</f>
        <v>364816.66666666669</v>
      </c>
      <c r="AC8" s="492">
        <f>+'Revenue &amp; COGS Building'!AM67</f>
        <v>411358.33333333331</v>
      </c>
      <c r="AD8" s="492">
        <f>+'Revenue &amp; COGS Building'!AN67</f>
        <v>430625</v>
      </c>
      <c r="AE8" s="492">
        <f>+'Revenue &amp; COGS Building'!AO67</f>
        <v>449891.66666666669</v>
      </c>
      <c r="AF8" s="492">
        <f>+'Revenue &amp; COGS Building'!AP67</f>
        <v>469158.33333333331</v>
      </c>
      <c r="AG8" s="492">
        <f>+'Revenue &amp; COGS Building'!AQ67</f>
        <v>488425</v>
      </c>
      <c r="AH8" s="492">
        <f>+'Revenue &amp; COGS Building'!AR67</f>
        <v>507691.66666666669</v>
      </c>
      <c r="AI8" s="492">
        <f>+'Revenue &amp; COGS Building'!AS67</f>
        <v>526950</v>
      </c>
      <c r="AJ8" s="492">
        <f>+'Revenue &amp; COGS Building'!AT67</f>
        <v>546208.33333333337</v>
      </c>
      <c r="AK8" s="492">
        <f>+'Revenue &amp; COGS Building'!AU67</f>
        <v>565466.66666666663</v>
      </c>
      <c r="AL8" s="492">
        <f>+'Revenue &amp; COGS Building'!AV67</f>
        <v>584725</v>
      </c>
      <c r="AM8" s="492">
        <f>+'Revenue &amp; COGS Building'!AW67</f>
        <v>603983.33333333337</v>
      </c>
      <c r="AN8" s="492">
        <f>+'Revenue &amp; COGS Building'!AX67</f>
        <v>623241.66666666663</v>
      </c>
      <c r="AO8" s="118"/>
      <c r="AP8" s="118"/>
      <c r="AQ8" s="118"/>
    </row>
    <row r="9" spans="1:43" s="11" customFormat="1" ht="15">
      <c r="A9" s="65"/>
      <c r="B9" s="105" t="s">
        <v>25</v>
      </c>
      <c r="C9" s="481">
        <f>'Historicals &amp; Projections'!C41</f>
        <v>6000</v>
      </c>
      <c r="D9" s="481">
        <f>'Historicals &amp; Projections'!D41</f>
        <v>6600</v>
      </c>
      <c r="E9" s="442">
        <f>'Revenue &amp; COGS Building'!O89</f>
        <v>15504.583333333332</v>
      </c>
      <c r="F9" s="442">
        <f>'Revenue &amp; COGS Building'!P89</f>
        <v>21236.395833333332</v>
      </c>
      <c r="G9" s="442">
        <f>'Revenue &amp; COGS Building'!Q89</f>
        <v>26968.208333333336</v>
      </c>
      <c r="H9" s="442">
        <f>'Revenue &amp; COGS Building'!R89</f>
        <v>32700.020833333336</v>
      </c>
      <c r="I9" s="442">
        <f>'Revenue &amp; COGS Building'!S89</f>
        <v>38431.833333333343</v>
      </c>
      <c r="J9" s="442">
        <f>'Revenue &amp; COGS Building'!T89</f>
        <v>44157.541666666664</v>
      </c>
      <c r="K9" s="442">
        <f>'Revenue &amp; COGS Building'!U89</f>
        <v>49883.25</v>
      </c>
      <c r="L9" s="442">
        <f>'Revenue &amp; COGS Building'!V89</f>
        <v>55608.958333333343</v>
      </c>
      <c r="M9" s="442">
        <f>'Revenue &amp; COGS Building'!W89</f>
        <v>61334.666666666672</v>
      </c>
      <c r="N9" s="442">
        <f>'Revenue &amp; COGS Building'!X89</f>
        <v>67060.375</v>
      </c>
      <c r="O9" s="442">
        <f>'Revenue &amp; COGS Building'!Y89</f>
        <v>72786.083333333328</v>
      </c>
      <c r="P9" s="442">
        <f>'Revenue &amp; COGS Building'!Z89</f>
        <v>78511.791666666686</v>
      </c>
      <c r="Q9" s="442">
        <f>'Revenue &amp; COGS Building'!AA89</f>
        <v>131923.25</v>
      </c>
      <c r="R9" s="442">
        <f>'Revenue &amp; COGS Building'!AB89</f>
        <v>143826.375</v>
      </c>
      <c r="S9" s="442">
        <f>'Revenue &amp; COGS Building'!AC89</f>
        <v>155729.5</v>
      </c>
      <c r="T9" s="442">
        <f>'Revenue &amp; COGS Building'!AD89</f>
        <v>167632.625</v>
      </c>
      <c r="U9" s="442">
        <f>'Revenue &amp; COGS Building'!AE89</f>
        <v>178437</v>
      </c>
      <c r="V9" s="442">
        <f>'Revenue &amp; COGS Building'!AF89</f>
        <v>188948.375</v>
      </c>
      <c r="W9" s="442">
        <f>'Revenue &amp; COGS Building'!AG89</f>
        <v>199459.75</v>
      </c>
      <c r="X9" s="442">
        <f>'Revenue &amp; COGS Building'!AH89</f>
        <v>209971.125</v>
      </c>
      <c r="Y9" s="442">
        <f>'Revenue &amp; COGS Building'!AI89</f>
        <v>220476.39583333337</v>
      </c>
      <c r="Z9" s="442">
        <f>'Revenue &amp; COGS Building'!AJ89</f>
        <v>230981.66666666669</v>
      </c>
      <c r="AA9" s="442">
        <f>'Revenue &amp; COGS Building'!AK89</f>
        <v>241486.9375</v>
      </c>
      <c r="AB9" s="442">
        <f>'Revenue &amp; COGS Building'!AL89</f>
        <v>251992.20833333331</v>
      </c>
      <c r="AC9" s="442">
        <f>'Revenue &amp; COGS Building'!AM89</f>
        <v>278026.47916666669</v>
      </c>
      <c r="AD9" s="442">
        <f>'Revenue &amp; COGS Building'!AN89</f>
        <v>291480.0625</v>
      </c>
      <c r="AE9" s="442">
        <f>'Revenue &amp; COGS Building'!AO89</f>
        <v>304933.64583333331</v>
      </c>
      <c r="AF9" s="442">
        <f>'Revenue &amp; COGS Building'!AP89</f>
        <v>318387.22916666674</v>
      </c>
      <c r="AG9" s="442">
        <f>'Revenue &amp; COGS Building'!AQ89</f>
        <v>331840.8125</v>
      </c>
      <c r="AH9" s="442">
        <f>'Revenue &amp; COGS Building'!AR89</f>
        <v>345294.39583333331</v>
      </c>
      <c r="AI9" s="442">
        <f>'Revenue &amp; COGS Building'!AS89</f>
        <v>358741.875</v>
      </c>
      <c r="AJ9" s="442">
        <f>'Revenue &amp; COGS Building'!AT89</f>
        <v>372189.35416666674</v>
      </c>
      <c r="AK9" s="442">
        <f>'Revenue &amp; COGS Building'!AU89</f>
        <v>385636.83333333331</v>
      </c>
      <c r="AL9" s="442">
        <f>'Revenue &amp; COGS Building'!AV89</f>
        <v>399084.3125</v>
      </c>
      <c r="AM9" s="442">
        <f>'Revenue &amp; COGS Building'!AW89</f>
        <v>412531.79166666674</v>
      </c>
      <c r="AN9" s="442">
        <f>'Revenue &amp; COGS Building'!AX89</f>
        <v>425979.27083333337</v>
      </c>
      <c r="AO9" s="118"/>
      <c r="AP9" s="118"/>
      <c r="AQ9" s="118"/>
    </row>
    <row r="10" spans="1:43" s="11" customFormat="1" ht="15">
      <c r="A10" s="65"/>
      <c r="B10" s="105" t="s">
        <v>26</v>
      </c>
      <c r="C10" s="481">
        <f>'Historicals &amp; Projections'!C42</f>
        <v>200</v>
      </c>
      <c r="D10" s="481">
        <f>'Historicals &amp; Projections'!D42</f>
        <v>200</v>
      </c>
      <c r="E10" s="442">
        <f>'Revenue &amp; COGS Building'!O101</f>
        <v>900</v>
      </c>
      <c r="F10" s="442">
        <f>'Revenue &amp; COGS Building'!P101</f>
        <v>900</v>
      </c>
      <c r="G10" s="442">
        <f>'Revenue &amp; COGS Building'!Q101</f>
        <v>900</v>
      </c>
      <c r="H10" s="442">
        <f>'Revenue &amp; COGS Building'!R101</f>
        <v>900</v>
      </c>
      <c r="I10" s="442">
        <f>'Revenue &amp; COGS Building'!S101</f>
        <v>900</v>
      </c>
      <c r="J10" s="442">
        <f>'Revenue &amp; COGS Building'!T101</f>
        <v>900</v>
      </c>
      <c r="K10" s="442">
        <f>'Revenue &amp; COGS Building'!U101</f>
        <v>900</v>
      </c>
      <c r="L10" s="442">
        <f>'Revenue &amp; COGS Building'!V101</f>
        <v>900</v>
      </c>
      <c r="M10" s="442">
        <f>'Revenue &amp; COGS Building'!W101</f>
        <v>900</v>
      </c>
      <c r="N10" s="442">
        <f>'Revenue &amp; COGS Building'!X101</f>
        <v>900</v>
      </c>
      <c r="O10" s="442">
        <f>'Revenue &amp; COGS Building'!Y101</f>
        <v>900</v>
      </c>
      <c r="P10" s="442">
        <f>'Revenue &amp; COGS Building'!Z101</f>
        <v>900</v>
      </c>
      <c r="Q10" s="442">
        <f>'Revenue &amp; COGS Building'!AA101</f>
        <v>1365</v>
      </c>
      <c r="R10" s="442">
        <f>'Revenue &amp; COGS Building'!AB101</f>
        <v>1365</v>
      </c>
      <c r="S10" s="442">
        <f>'Revenue &amp; COGS Building'!AC101</f>
        <v>1365</v>
      </c>
      <c r="T10" s="442">
        <f>'Revenue &amp; COGS Building'!AD101</f>
        <v>1365</v>
      </c>
      <c r="U10" s="442">
        <f>'Revenue &amp; COGS Building'!AE101</f>
        <v>1365</v>
      </c>
      <c r="V10" s="442">
        <f>'Revenue &amp; COGS Building'!AF101</f>
        <v>1365</v>
      </c>
      <c r="W10" s="442">
        <f>'Revenue &amp; COGS Building'!AG101</f>
        <v>1365</v>
      </c>
      <c r="X10" s="442">
        <f>'Revenue &amp; COGS Building'!AH101</f>
        <v>1365</v>
      </c>
      <c r="Y10" s="442">
        <f>'Revenue &amp; COGS Building'!AI101</f>
        <v>1365</v>
      </c>
      <c r="Z10" s="442">
        <f>'Revenue &amp; COGS Building'!AJ101</f>
        <v>1365</v>
      </c>
      <c r="AA10" s="442">
        <f>'Revenue &amp; COGS Building'!AK101</f>
        <v>1365</v>
      </c>
      <c r="AB10" s="442">
        <f>'Revenue &amp; COGS Building'!AL101</f>
        <v>1365</v>
      </c>
      <c r="AC10" s="442">
        <f>'Revenue &amp; COGS Building'!AM101</f>
        <v>1890</v>
      </c>
      <c r="AD10" s="442">
        <f>'Revenue &amp; COGS Building'!AN101</f>
        <v>1890</v>
      </c>
      <c r="AE10" s="442">
        <f>'Revenue &amp; COGS Building'!AO101</f>
        <v>1890</v>
      </c>
      <c r="AF10" s="442">
        <f>'Revenue &amp; COGS Building'!AP101</f>
        <v>1890</v>
      </c>
      <c r="AG10" s="442">
        <f>'Revenue &amp; COGS Building'!AQ101</f>
        <v>1890</v>
      </c>
      <c r="AH10" s="442">
        <f>'Revenue &amp; COGS Building'!AR101</f>
        <v>1890</v>
      </c>
      <c r="AI10" s="442">
        <f>'Revenue &amp; COGS Building'!AS101</f>
        <v>1890</v>
      </c>
      <c r="AJ10" s="442">
        <f>'Revenue &amp; COGS Building'!AT101</f>
        <v>1890</v>
      </c>
      <c r="AK10" s="442">
        <f>'Revenue &amp; COGS Building'!AU101</f>
        <v>1890</v>
      </c>
      <c r="AL10" s="442">
        <f>'Revenue &amp; COGS Building'!AV101</f>
        <v>1890</v>
      </c>
      <c r="AM10" s="442">
        <f>'Revenue &amp; COGS Building'!AW101</f>
        <v>1890</v>
      </c>
      <c r="AN10" s="442">
        <f>'Revenue &amp; COGS Building'!AX101</f>
        <v>1890</v>
      </c>
      <c r="AO10" s="118"/>
      <c r="AP10" s="118"/>
      <c r="AQ10" s="118"/>
    </row>
    <row r="11" spans="1:43" s="11" customFormat="1" ht="15">
      <c r="A11" s="65"/>
      <c r="B11" s="109" t="s">
        <v>27</v>
      </c>
      <c r="C11" s="484">
        <f t="shared" ref="C11:P11" si="0">SUM(C9:C10)</f>
        <v>6200</v>
      </c>
      <c r="D11" s="484">
        <f>SUM(D9:D10)</f>
        <v>6800</v>
      </c>
      <c r="E11" s="443">
        <f>SUM(E9:E10)</f>
        <v>16404.583333333332</v>
      </c>
      <c r="F11" s="443">
        <f t="shared" si="0"/>
        <v>22136.395833333332</v>
      </c>
      <c r="G11" s="443">
        <f t="shared" si="0"/>
        <v>27868.208333333336</v>
      </c>
      <c r="H11" s="443">
        <f t="shared" si="0"/>
        <v>33600.020833333336</v>
      </c>
      <c r="I11" s="443">
        <f t="shared" si="0"/>
        <v>39331.833333333343</v>
      </c>
      <c r="J11" s="443">
        <f t="shared" si="0"/>
        <v>45057.541666666664</v>
      </c>
      <c r="K11" s="443">
        <f t="shared" si="0"/>
        <v>50783.25</v>
      </c>
      <c r="L11" s="443">
        <f t="shared" si="0"/>
        <v>56508.958333333343</v>
      </c>
      <c r="M11" s="443">
        <f t="shared" si="0"/>
        <v>62234.666666666672</v>
      </c>
      <c r="N11" s="443">
        <f t="shared" si="0"/>
        <v>67960.375</v>
      </c>
      <c r="O11" s="443">
        <f t="shared" si="0"/>
        <v>73686.083333333328</v>
      </c>
      <c r="P11" s="443">
        <f t="shared" si="0"/>
        <v>79411.791666666686</v>
      </c>
      <c r="Q11" s="443">
        <f t="shared" ref="Q11:AI11" si="1">SUM(Q9:Q10)</f>
        <v>133288.25</v>
      </c>
      <c r="R11" s="443">
        <f t="shared" si="1"/>
        <v>145191.375</v>
      </c>
      <c r="S11" s="443">
        <f t="shared" si="1"/>
        <v>157094.5</v>
      </c>
      <c r="T11" s="443">
        <f t="shared" si="1"/>
        <v>168997.625</v>
      </c>
      <c r="U11" s="443">
        <f t="shared" si="1"/>
        <v>179802</v>
      </c>
      <c r="V11" s="443">
        <f t="shared" si="1"/>
        <v>190313.375</v>
      </c>
      <c r="W11" s="443">
        <f t="shared" si="1"/>
        <v>200824.75</v>
      </c>
      <c r="X11" s="443">
        <f t="shared" si="1"/>
        <v>211336.125</v>
      </c>
      <c r="Y11" s="443">
        <f t="shared" si="1"/>
        <v>221841.39583333337</v>
      </c>
      <c r="Z11" s="443">
        <f t="shared" si="1"/>
        <v>232346.66666666669</v>
      </c>
      <c r="AA11" s="443">
        <f t="shared" si="1"/>
        <v>242851.9375</v>
      </c>
      <c r="AB11" s="443">
        <f t="shared" si="1"/>
        <v>253357.20833333331</v>
      </c>
      <c r="AC11" s="443">
        <f t="shared" si="1"/>
        <v>279916.47916666669</v>
      </c>
      <c r="AD11" s="443">
        <f t="shared" si="1"/>
        <v>293370.0625</v>
      </c>
      <c r="AE11" s="443">
        <f t="shared" si="1"/>
        <v>306823.64583333331</v>
      </c>
      <c r="AF11" s="443">
        <f t="shared" si="1"/>
        <v>320277.22916666674</v>
      </c>
      <c r="AG11" s="443">
        <f t="shared" si="1"/>
        <v>333730.8125</v>
      </c>
      <c r="AH11" s="443">
        <f t="shared" si="1"/>
        <v>347184.39583333331</v>
      </c>
      <c r="AI11" s="443">
        <f t="shared" si="1"/>
        <v>360631.875</v>
      </c>
      <c r="AJ11" s="443">
        <f t="shared" ref="AJ11:AL11" si="2">SUM(AJ9:AJ10)</f>
        <v>374079.35416666674</v>
      </c>
      <c r="AK11" s="443">
        <f t="shared" si="2"/>
        <v>387526.83333333331</v>
      </c>
      <c r="AL11" s="443">
        <f t="shared" si="2"/>
        <v>400974.3125</v>
      </c>
      <c r="AM11" s="443">
        <f t="shared" ref="AM11:AN11" si="3">SUM(AM9:AM10)</f>
        <v>414421.79166666674</v>
      </c>
      <c r="AN11" s="443">
        <f t="shared" si="3"/>
        <v>427869.27083333337</v>
      </c>
      <c r="AO11" s="145"/>
      <c r="AP11" s="145"/>
      <c r="AQ11" s="145"/>
    </row>
    <row r="12" spans="1:43" s="11" customFormat="1" ht="15">
      <c r="A12" s="65"/>
      <c r="B12" s="62"/>
      <c r="C12" s="75"/>
      <c r="D12" s="75"/>
      <c r="E12" s="118"/>
      <c r="F12" s="118"/>
      <c r="G12" s="118"/>
      <c r="H12" s="118"/>
      <c r="I12" s="118"/>
      <c r="J12" s="121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62"/>
      <c r="AP12" s="62"/>
      <c r="AQ12" s="62"/>
    </row>
    <row r="13" spans="1:43" s="11" customFormat="1" ht="15">
      <c r="A13" s="65"/>
      <c r="B13" s="122" t="s">
        <v>28</v>
      </c>
      <c r="C13" s="493">
        <f>C8-C11</f>
        <v>3800</v>
      </c>
      <c r="D13" s="493">
        <f>D8-D11</f>
        <v>4200</v>
      </c>
      <c r="E13" s="494">
        <f>+E8-E11</f>
        <v>7762.0833333333358</v>
      </c>
      <c r="F13" s="494">
        <f>+F8-F11</f>
        <v>10255.270833333336</v>
      </c>
      <c r="G13" s="494">
        <f>+G8-G11</f>
        <v>12748.458333333328</v>
      </c>
      <c r="H13" s="494">
        <f>+H8-H11</f>
        <v>15241.645833333328</v>
      </c>
      <c r="I13" s="494">
        <f>+I8-I11</f>
        <v>17734.833333333321</v>
      </c>
      <c r="J13" s="494">
        <f t="shared" ref="J13:P13" si="4">+J8-J11</f>
        <v>20225.791666666672</v>
      </c>
      <c r="K13" s="494">
        <f t="shared" si="4"/>
        <v>22716.75</v>
      </c>
      <c r="L13" s="494">
        <f t="shared" si="4"/>
        <v>25207.708333333328</v>
      </c>
      <c r="M13" s="494">
        <f t="shared" si="4"/>
        <v>27698.666666666657</v>
      </c>
      <c r="N13" s="494">
        <f>+N8-N11</f>
        <v>30189.625</v>
      </c>
      <c r="O13" s="494">
        <f t="shared" si="4"/>
        <v>32680.583333333343</v>
      </c>
      <c r="P13" s="494">
        <f t="shared" si="4"/>
        <v>35171.541666666642</v>
      </c>
      <c r="Q13" s="494">
        <f t="shared" ref="Q13:AI13" si="5">+Q8-Q11</f>
        <v>62411.75</v>
      </c>
      <c r="R13" s="494">
        <f t="shared" si="5"/>
        <v>67358.625</v>
      </c>
      <c r="S13" s="494">
        <f t="shared" si="5"/>
        <v>72305.5</v>
      </c>
      <c r="T13" s="494">
        <f t="shared" si="5"/>
        <v>77252.375</v>
      </c>
      <c r="U13" s="494">
        <f t="shared" si="5"/>
        <v>81798</v>
      </c>
      <c r="V13" s="494">
        <f t="shared" si="5"/>
        <v>86036.625</v>
      </c>
      <c r="W13" s="494">
        <f t="shared" si="5"/>
        <v>90275.25</v>
      </c>
      <c r="X13" s="494">
        <f t="shared" si="5"/>
        <v>94513.875</v>
      </c>
      <c r="Y13" s="494">
        <f t="shared" si="5"/>
        <v>98750.270833333314</v>
      </c>
      <c r="Z13" s="494">
        <f t="shared" si="5"/>
        <v>102986.66666666663</v>
      </c>
      <c r="AA13" s="494">
        <f t="shared" si="5"/>
        <v>107223.0625</v>
      </c>
      <c r="AB13" s="494">
        <f t="shared" si="5"/>
        <v>111459.45833333337</v>
      </c>
      <c r="AC13" s="494">
        <f t="shared" si="5"/>
        <v>131441.85416666663</v>
      </c>
      <c r="AD13" s="494">
        <f t="shared" si="5"/>
        <v>137254.9375</v>
      </c>
      <c r="AE13" s="494">
        <f t="shared" si="5"/>
        <v>143068.02083333337</v>
      </c>
      <c r="AF13" s="494">
        <f t="shared" si="5"/>
        <v>148881.10416666657</v>
      </c>
      <c r="AG13" s="494">
        <f t="shared" si="5"/>
        <v>154694.1875</v>
      </c>
      <c r="AH13" s="494">
        <f t="shared" si="5"/>
        <v>160507.27083333337</v>
      </c>
      <c r="AI13" s="494">
        <f t="shared" si="5"/>
        <v>166318.125</v>
      </c>
      <c r="AJ13" s="494">
        <f t="shared" ref="AJ13:AL13" si="6">+AJ8-AJ11</f>
        <v>172128.97916666663</v>
      </c>
      <c r="AK13" s="494">
        <f t="shared" si="6"/>
        <v>177939.83333333331</v>
      </c>
      <c r="AL13" s="494">
        <f t="shared" si="6"/>
        <v>183750.6875</v>
      </c>
      <c r="AM13" s="494">
        <f t="shared" ref="AM13:AN13" si="7">+AM8-AM11</f>
        <v>189561.54166666663</v>
      </c>
      <c r="AN13" s="494">
        <f t="shared" si="7"/>
        <v>195372.39583333326</v>
      </c>
      <c r="AO13" s="145"/>
      <c r="AP13" s="145"/>
      <c r="AQ13" s="145"/>
    </row>
    <row r="14" spans="1:43" s="11" customFormat="1" ht="15">
      <c r="A14" s="65"/>
      <c r="B14" s="62"/>
      <c r="C14" s="75"/>
      <c r="D14" s="75"/>
      <c r="E14" s="118"/>
      <c r="F14" s="118"/>
      <c r="G14" s="118"/>
      <c r="H14" s="118"/>
      <c r="I14" s="118"/>
      <c r="J14" s="121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62"/>
      <c r="AP14" s="62"/>
      <c r="AQ14" s="62"/>
    </row>
    <row r="15" spans="1:43" s="11" customFormat="1" ht="15">
      <c r="A15" s="65"/>
      <c r="B15" s="105" t="s">
        <v>29</v>
      </c>
      <c r="C15" s="481">
        <f>'Historicals &amp; Projections'!C47</f>
        <v>1000</v>
      </c>
      <c r="D15" s="481">
        <f>'Historicals &amp; Projections'!D47</f>
        <v>1100</v>
      </c>
      <c r="E15" s="442">
        <f>+Overheads!J23</f>
        <v>5665.8454545454524</v>
      </c>
      <c r="F15" s="442">
        <f>+Overheads!K23</f>
        <v>6148.1295454545452</v>
      </c>
      <c r="G15" s="442">
        <f>+Overheads!L23</f>
        <v>6630.4136363636399</v>
      </c>
      <c r="H15" s="442">
        <f>+Overheads!M23</f>
        <v>7112.6977272727263</v>
      </c>
      <c r="I15" s="442">
        <f>+Overheads!N23</f>
        <v>7594.9818181818191</v>
      </c>
      <c r="J15" s="442">
        <f>+Overheads!O23</f>
        <v>8076.7772727272741</v>
      </c>
      <c r="K15" s="442">
        <f>+Overheads!P23</f>
        <v>8558.5727272727272</v>
      </c>
      <c r="L15" s="442">
        <f>+Overheads!Q23</f>
        <v>9040.3681818181813</v>
      </c>
      <c r="M15" s="442">
        <f>+Overheads!R23</f>
        <v>9522.1636363636335</v>
      </c>
      <c r="N15" s="442">
        <f>+Overheads!S23</f>
        <v>10003.959090909089</v>
      </c>
      <c r="O15" s="442">
        <f>+Overheads!T23</f>
        <v>10485.754545454547</v>
      </c>
      <c r="P15" s="442">
        <f>+Overheads!U23</f>
        <v>10967.550000000001</v>
      </c>
      <c r="Q15" s="442">
        <f>+Overheads!V23</f>
        <v>16763.8864469697</v>
      </c>
      <c r="R15" s="442">
        <f>+Overheads!W23</f>
        <v>17751.909174242421</v>
      </c>
      <c r="S15" s="442">
        <f>+Overheads!X23</f>
        <v>18739.931901515156</v>
      </c>
      <c r="T15" s="442">
        <f>+Overheads!Y23</f>
        <v>19727.954628787877</v>
      </c>
      <c r="U15" s="442">
        <f>+Overheads!Z23</f>
        <v>20628.02281060606</v>
      </c>
      <c r="V15" s="442">
        <f>+Overheads!AA23</f>
        <v>21492.909174242424</v>
      </c>
      <c r="W15" s="442">
        <f>+Overheads!AB23</f>
        <v>22357.795537878785</v>
      </c>
      <c r="X15" s="442">
        <f>+Overheads!AC23</f>
        <v>23222.681901515145</v>
      </c>
      <c r="Y15" s="442">
        <f>+Overheads!AD23</f>
        <v>24087.079628787884</v>
      </c>
      <c r="Z15" s="442">
        <f>+Overheads!AE23</f>
        <v>24951.477356060605</v>
      </c>
      <c r="AA15" s="442">
        <f>+Overheads!AF23</f>
        <v>25815.875083333336</v>
      </c>
      <c r="AB15" s="442">
        <f>+Overheads!AG23</f>
        <v>26680.272810606064</v>
      </c>
      <c r="AC15" s="442">
        <f>+Overheads!AH23</f>
        <v>29338.752538181812</v>
      </c>
      <c r="AD15" s="442">
        <f>+Overheads!AI23</f>
        <v>30468.479810909095</v>
      </c>
      <c r="AE15" s="442">
        <f>+Overheads!AJ23</f>
        <v>31598.207083636364</v>
      </c>
      <c r="AF15" s="442">
        <f>+Overheads!AK23</f>
        <v>32727.934356363632</v>
      </c>
      <c r="AG15" s="442">
        <f>+Overheads!AL23</f>
        <v>33857.661629090908</v>
      </c>
      <c r="AH15" s="442">
        <f>+Overheads!AM23</f>
        <v>34987.38890181818</v>
      </c>
      <c r="AI15" s="442">
        <f>+Overheads!AN23</f>
        <v>36116.62753818182</v>
      </c>
      <c r="AJ15" s="442">
        <f>+Overheads!AO23</f>
        <v>37245.866174545452</v>
      </c>
      <c r="AK15" s="442">
        <f>+Overheads!AP23</f>
        <v>38375.104810909092</v>
      </c>
      <c r="AL15" s="442">
        <f>+Overheads!AQ23</f>
        <v>39504.343447272724</v>
      </c>
      <c r="AM15" s="442">
        <f>+Overheads!AR23</f>
        <v>40633.582083636364</v>
      </c>
      <c r="AN15" s="442">
        <f>+Overheads!AS23</f>
        <v>41762.820719999996</v>
      </c>
      <c r="AO15" s="118"/>
      <c r="AP15" s="118"/>
      <c r="AQ15" s="118"/>
    </row>
    <row r="16" spans="1:43" s="11" customFormat="1" ht="15">
      <c r="A16" s="65"/>
      <c r="B16" s="105" t="s">
        <v>30</v>
      </c>
      <c r="C16" s="481">
        <f>'Historicals &amp; Projections'!C48</f>
        <v>1000</v>
      </c>
      <c r="D16" s="481">
        <f>'Historicals &amp; Projections'!D48</f>
        <v>1100</v>
      </c>
      <c r="E16" s="442">
        <f>+Overheads!J45</f>
        <v>98005.333333333358</v>
      </c>
      <c r="F16" s="442">
        <f>+Overheads!K45</f>
        <v>98005.333333333358</v>
      </c>
      <c r="G16" s="442">
        <f>+Overheads!L45</f>
        <v>98005.333333333358</v>
      </c>
      <c r="H16" s="442">
        <f>+Overheads!M45</f>
        <v>98005.333333333358</v>
      </c>
      <c r="I16" s="442">
        <f>+Overheads!N45</f>
        <v>98005.333333333358</v>
      </c>
      <c r="J16" s="442">
        <f>+Overheads!O45</f>
        <v>98005.333333333358</v>
      </c>
      <c r="K16" s="442">
        <f>+Overheads!P45</f>
        <v>98005.333333333358</v>
      </c>
      <c r="L16" s="442">
        <f>+Overheads!Q45</f>
        <v>98005.333333333358</v>
      </c>
      <c r="M16" s="442">
        <f>+Overheads!R45</f>
        <v>98005.333333333358</v>
      </c>
      <c r="N16" s="442">
        <f>+Overheads!S45</f>
        <v>98005.333333333358</v>
      </c>
      <c r="O16" s="442">
        <f>+Overheads!T45</f>
        <v>98005.333333333358</v>
      </c>
      <c r="P16" s="442">
        <f>+Overheads!U45</f>
        <v>98005.333333333358</v>
      </c>
      <c r="Q16" s="442">
        <f>+Overheads!V45</f>
        <v>84795.773333333345</v>
      </c>
      <c r="R16" s="442">
        <f>+Overheads!W45</f>
        <v>84795.773333333345</v>
      </c>
      <c r="S16" s="442">
        <f>+Overheads!X45</f>
        <v>84795.773333333345</v>
      </c>
      <c r="T16" s="442">
        <f>+Overheads!Y45</f>
        <v>84795.773333333345</v>
      </c>
      <c r="U16" s="442">
        <f>+Overheads!Z45</f>
        <v>84795.773333333345</v>
      </c>
      <c r="V16" s="442">
        <f>+Overheads!AA45</f>
        <v>84795.773333333345</v>
      </c>
      <c r="W16" s="442">
        <f>+Overheads!AB45</f>
        <v>84795.773333333345</v>
      </c>
      <c r="X16" s="442">
        <f>+Overheads!AC45</f>
        <v>84795.773333333345</v>
      </c>
      <c r="Y16" s="442">
        <f>+Overheads!AD45</f>
        <v>84795.773333333345</v>
      </c>
      <c r="Z16" s="442">
        <f>+Overheads!AE45</f>
        <v>84795.773333333345</v>
      </c>
      <c r="AA16" s="442">
        <f>+Overheads!AF45</f>
        <v>84795.773333333345</v>
      </c>
      <c r="AB16" s="442">
        <f>+Overheads!AG45</f>
        <v>84795.773333333345</v>
      </c>
      <c r="AC16" s="442">
        <f>+Overheads!AH45</f>
        <v>96416.588300000003</v>
      </c>
      <c r="AD16" s="442">
        <f>+Overheads!AI45</f>
        <v>96416.588300000003</v>
      </c>
      <c r="AE16" s="442">
        <f>+Overheads!AJ45</f>
        <v>96416.588300000003</v>
      </c>
      <c r="AF16" s="442">
        <f>+Overheads!AK45</f>
        <v>96416.588300000003</v>
      </c>
      <c r="AG16" s="442">
        <f>+Overheads!AL45</f>
        <v>96416.588300000003</v>
      </c>
      <c r="AH16" s="442">
        <f>+Overheads!AM45</f>
        <v>96416.588300000003</v>
      </c>
      <c r="AI16" s="442">
        <f>+Overheads!AN45</f>
        <v>96416.588300000003</v>
      </c>
      <c r="AJ16" s="442">
        <f>+Overheads!AO45</f>
        <v>96416.588300000003</v>
      </c>
      <c r="AK16" s="442">
        <f>+Overheads!AP45</f>
        <v>96416.588300000003</v>
      </c>
      <c r="AL16" s="442">
        <f>+Overheads!AQ45</f>
        <v>96416.588300000003</v>
      </c>
      <c r="AM16" s="442">
        <f>+Overheads!AR45</f>
        <v>96416.588300000003</v>
      </c>
      <c r="AN16" s="442">
        <f>+Overheads!AS45</f>
        <v>96416.588300000003</v>
      </c>
      <c r="AO16" s="118"/>
      <c r="AP16" s="118"/>
      <c r="AQ16" s="118"/>
    </row>
    <row r="17" spans="1:43" s="11" customFormat="1" ht="15">
      <c r="A17" s="65"/>
      <c r="B17" s="109" t="s">
        <v>31</v>
      </c>
      <c r="C17" s="484">
        <f t="shared" ref="C17:P17" si="8">SUM(C15:C16)</f>
        <v>2000</v>
      </c>
      <c r="D17" s="484">
        <f t="shared" si="8"/>
        <v>2200</v>
      </c>
      <c r="E17" s="443">
        <f>SUM(E15:E16)</f>
        <v>103671.17878787882</v>
      </c>
      <c r="F17" s="443">
        <f t="shared" si="8"/>
        <v>104153.4628787879</v>
      </c>
      <c r="G17" s="443">
        <f t="shared" si="8"/>
        <v>104635.74696969699</v>
      </c>
      <c r="H17" s="443">
        <f t="shared" si="8"/>
        <v>105118.03106060608</v>
      </c>
      <c r="I17" s="443">
        <f t="shared" si="8"/>
        <v>105600.31515151518</v>
      </c>
      <c r="J17" s="443">
        <f t="shared" si="8"/>
        <v>106082.11060606063</v>
      </c>
      <c r="K17" s="443">
        <f t="shared" si="8"/>
        <v>106563.90606060608</v>
      </c>
      <c r="L17" s="443">
        <f t="shared" si="8"/>
        <v>107045.70151515154</v>
      </c>
      <c r="M17" s="443">
        <f t="shared" si="8"/>
        <v>107527.49696969699</v>
      </c>
      <c r="N17" s="443">
        <f t="shared" si="8"/>
        <v>108009.29242424245</v>
      </c>
      <c r="O17" s="443">
        <f t="shared" si="8"/>
        <v>108491.0878787879</v>
      </c>
      <c r="P17" s="443">
        <f t="shared" si="8"/>
        <v>108972.88333333336</v>
      </c>
      <c r="Q17" s="443">
        <f t="shared" ref="Q17:AI17" si="9">SUM(Q15:Q16)</f>
        <v>101559.65978030305</v>
      </c>
      <c r="R17" s="443">
        <f t="shared" si="9"/>
        <v>102547.68250757577</v>
      </c>
      <c r="S17" s="443">
        <f t="shared" si="9"/>
        <v>103535.7052348485</v>
      </c>
      <c r="T17" s="443">
        <f t="shared" si="9"/>
        <v>104523.72796212122</v>
      </c>
      <c r="U17" s="443">
        <f t="shared" si="9"/>
        <v>105423.7961439394</v>
      </c>
      <c r="V17" s="443">
        <f t="shared" si="9"/>
        <v>106288.68250757577</v>
      </c>
      <c r="W17" s="443">
        <f t="shared" si="9"/>
        <v>107153.56887121213</v>
      </c>
      <c r="X17" s="443">
        <f t="shared" si="9"/>
        <v>108018.45523484849</v>
      </c>
      <c r="Y17" s="443">
        <f t="shared" si="9"/>
        <v>108882.85296212122</v>
      </c>
      <c r="Z17" s="443">
        <f t="shared" si="9"/>
        <v>109747.25068939396</v>
      </c>
      <c r="AA17" s="443">
        <f t="shared" si="9"/>
        <v>110611.64841666668</v>
      </c>
      <c r="AB17" s="443">
        <f t="shared" si="9"/>
        <v>111476.04614393941</v>
      </c>
      <c r="AC17" s="443">
        <f t="shared" si="9"/>
        <v>125755.34083818182</v>
      </c>
      <c r="AD17" s="443">
        <f t="shared" si="9"/>
        <v>126885.06811090909</v>
      </c>
      <c r="AE17" s="443">
        <f t="shared" si="9"/>
        <v>128014.79538363637</v>
      </c>
      <c r="AF17" s="443">
        <f t="shared" si="9"/>
        <v>129144.52265636364</v>
      </c>
      <c r="AG17" s="443">
        <f t="shared" si="9"/>
        <v>130274.2499290909</v>
      </c>
      <c r="AH17" s="443">
        <f t="shared" si="9"/>
        <v>131403.9772018182</v>
      </c>
      <c r="AI17" s="443">
        <f t="shared" si="9"/>
        <v>132533.21583818182</v>
      </c>
      <c r="AJ17" s="443">
        <f t="shared" ref="AJ17:AL17" si="10">SUM(AJ15:AJ16)</f>
        <v>133662.45447454546</v>
      </c>
      <c r="AK17" s="443">
        <f t="shared" si="10"/>
        <v>134791.69311090908</v>
      </c>
      <c r="AL17" s="443">
        <f t="shared" si="10"/>
        <v>135920.93174727273</v>
      </c>
      <c r="AM17" s="443">
        <f t="shared" ref="AM17:AN17" si="11">SUM(AM15:AM16)</f>
        <v>137050.17038363637</v>
      </c>
      <c r="AN17" s="443">
        <f t="shared" si="11"/>
        <v>138179.40901999999</v>
      </c>
      <c r="AO17" s="145"/>
      <c r="AP17" s="145"/>
      <c r="AQ17" s="145"/>
    </row>
    <row r="18" spans="1:43" s="11" customFormat="1" ht="15">
      <c r="A18" s="65"/>
      <c r="B18" s="138"/>
      <c r="C18" s="144"/>
      <c r="D18" s="144"/>
      <c r="E18" s="145"/>
      <c r="F18" s="145"/>
      <c r="G18" s="145"/>
      <c r="H18" s="145"/>
      <c r="I18" s="145"/>
      <c r="J18" s="184"/>
      <c r="K18" s="184"/>
      <c r="L18" s="184"/>
      <c r="M18" s="184"/>
      <c r="N18" s="184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62"/>
      <c r="AP18" s="62"/>
      <c r="AQ18" s="62"/>
    </row>
    <row r="19" spans="1:43" s="11" customFormat="1" ht="15">
      <c r="A19" s="65"/>
      <c r="B19" s="71" t="s">
        <v>328</v>
      </c>
      <c r="C19" s="481">
        <f>+'Historicals &amp; Projections'!C51</f>
        <v>50</v>
      </c>
      <c r="D19" s="481">
        <f>+'Historicals &amp; Projections'!D51</f>
        <v>50</v>
      </c>
      <c r="E19" s="442">
        <f>+OTH!F8</f>
        <v>0</v>
      </c>
      <c r="F19" s="442">
        <f>+OTH!G8</f>
        <v>0</v>
      </c>
      <c r="G19" s="442">
        <f>+OTH!H8</f>
        <v>0</v>
      </c>
      <c r="H19" s="442">
        <f>+OTH!I8</f>
        <v>0</v>
      </c>
      <c r="I19" s="442">
        <f>+OTH!J8</f>
        <v>0</v>
      </c>
      <c r="J19" s="442">
        <f>+OTH!K8</f>
        <v>0</v>
      </c>
      <c r="K19" s="442">
        <f>+OTH!L8</f>
        <v>0</v>
      </c>
      <c r="L19" s="442">
        <f>+OTH!M8</f>
        <v>0</v>
      </c>
      <c r="M19" s="442">
        <f>+OTH!N8</f>
        <v>50</v>
      </c>
      <c r="N19" s="442">
        <f>+OTH!O8</f>
        <v>0</v>
      </c>
      <c r="O19" s="442">
        <f>+OTH!P8</f>
        <v>0</v>
      </c>
      <c r="P19" s="442">
        <f>+OTH!Q8</f>
        <v>0</v>
      </c>
      <c r="Q19" s="442">
        <f>+OTH!R8</f>
        <v>0</v>
      </c>
      <c r="R19" s="442">
        <f>+OTH!S8</f>
        <v>0</v>
      </c>
      <c r="S19" s="442">
        <f>+OTH!T8</f>
        <v>0</v>
      </c>
      <c r="T19" s="442">
        <f>+OTH!U8</f>
        <v>0</v>
      </c>
      <c r="U19" s="442">
        <f>+OTH!V8</f>
        <v>0</v>
      </c>
      <c r="V19" s="442">
        <f>+OTH!W8</f>
        <v>0</v>
      </c>
      <c r="W19" s="442">
        <f>+OTH!X8</f>
        <v>0</v>
      </c>
      <c r="X19" s="442">
        <f>+OTH!Y8</f>
        <v>0</v>
      </c>
      <c r="Y19" s="442">
        <f>+OTH!Z8</f>
        <v>0</v>
      </c>
      <c r="Z19" s="442">
        <f>+OTH!AA8</f>
        <v>0</v>
      </c>
      <c r="AA19" s="442">
        <f>+OTH!AB8</f>
        <v>0</v>
      </c>
      <c r="AB19" s="442">
        <f>+OTH!AC8</f>
        <v>0</v>
      </c>
      <c r="AC19" s="442">
        <f>+OTH!AD8</f>
        <v>0</v>
      </c>
      <c r="AD19" s="442">
        <f>+OTH!AE8</f>
        <v>0</v>
      </c>
      <c r="AE19" s="442">
        <f>+OTH!AF8</f>
        <v>0</v>
      </c>
      <c r="AF19" s="442">
        <f>+OTH!AG8</f>
        <v>0</v>
      </c>
      <c r="AG19" s="442">
        <f>+OTH!AH8</f>
        <v>0</v>
      </c>
      <c r="AH19" s="442">
        <f>+OTH!AI8</f>
        <v>0</v>
      </c>
      <c r="AI19" s="442">
        <f>+OTH!AJ8</f>
        <v>0</v>
      </c>
      <c r="AJ19" s="442">
        <f>+OTH!AK8</f>
        <v>0</v>
      </c>
      <c r="AK19" s="442">
        <f>+OTH!AL8</f>
        <v>0</v>
      </c>
      <c r="AL19" s="442">
        <f>+OTH!AM8</f>
        <v>0</v>
      </c>
      <c r="AM19" s="442">
        <f>+OTH!AN8</f>
        <v>0</v>
      </c>
      <c r="AN19" s="442">
        <f>+OTH!AO8</f>
        <v>0</v>
      </c>
      <c r="AO19" s="118"/>
      <c r="AP19" s="118"/>
      <c r="AQ19" s="118"/>
    </row>
    <row r="20" spans="1:43" s="11" customFormat="1" ht="15">
      <c r="A20" s="65"/>
      <c r="B20" s="71" t="s">
        <v>329</v>
      </c>
      <c r="C20" s="481">
        <f>+'Historicals &amp; Projections'!C52</f>
        <v>120</v>
      </c>
      <c r="D20" s="481">
        <f>+'Historicals &amp; Projections'!D52</f>
        <v>90</v>
      </c>
      <c r="E20" s="442">
        <f>+OTH!F9</f>
        <v>0</v>
      </c>
      <c r="F20" s="442">
        <f>+OTH!G9</f>
        <v>0</v>
      </c>
      <c r="G20" s="442">
        <f>+OTH!H9</f>
        <v>0</v>
      </c>
      <c r="H20" s="442">
        <f>+OTH!I9</f>
        <v>0</v>
      </c>
      <c r="I20" s="442">
        <f>+OTH!J9</f>
        <v>0</v>
      </c>
      <c r="J20" s="442">
        <f>+OTH!K9</f>
        <v>0</v>
      </c>
      <c r="K20" s="442">
        <f>+OTH!L9</f>
        <v>0</v>
      </c>
      <c r="L20" s="442">
        <f>+OTH!M9</f>
        <v>0</v>
      </c>
      <c r="M20" s="442">
        <f>+OTH!N9</f>
        <v>0</v>
      </c>
      <c r="N20" s="442">
        <f>+OTH!O9</f>
        <v>0</v>
      </c>
      <c r="O20" s="442">
        <f>+OTH!P9</f>
        <v>0</v>
      </c>
      <c r="P20" s="442">
        <f>+OTH!Q9</f>
        <v>0</v>
      </c>
      <c r="Q20" s="442">
        <f>+OTH!R9</f>
        <v>0</v>
      </c>
      <c r="R20" s="442">
        <f>+OTH!S9</f>
        <v>0</v>
      </c>
      <c r="S20" s="442">
        <f>+OTH!T9</f>
        <v>0</v>
      </c>
      <c r="T20" s="442">
        <f>+OTH!U9</f>
        <v>0</v>
      </c>
      <c r="U20" s="442">
        <f>+OTH!V9</f>
        <v>0</v>
      </c>
      <c r="V20" s="442">
        <f>+OTH!W9</f>
        <v>0</v>
      </c>
      <c r="W20" s="442">
        <f>+OTH!X9</f>
        <v>0</v>
      </c>
      <c r="X20" s="442">
        <f>+OTH!Y9</f>
        <v>0</v>
      </c>
      <c r="Y20" s="442">
        <f>+OTH!Z9</f>
        <v>0</v>
      </c>
      <c r="Z20" s="442">
        <f>+OTH!AA9</f>
        <v>0</v>
      </c>
      <c r="AA20" s="442">
        <f>+OTH!AB9</f>
        <v>0</v>
      </c>
      <c r="AB20" s="442">
        <f>+OTH!AC9</f>
        <v>0</v>
      </c>
      <c r="AC20" s="442">
        <f>+OTH!AD9</f>
        <v>0</v>
      </c>
      <c r="AD20" s="442">
        <f>+OTH!AE9</f>
        <v>0</v>
      </c>
      <c r="AE20" s="442">
        <f>+OTH!AF9</f>
        <v>0</v>
      </c>
      <c r="AF20" s="442">
        <f>+OTH!AG9</f>
        <v>0</v>
      </c>
      <c r="AG20" s="442">
        <f>+OTH!AH9</f>
        <v>0</v>
      </c>
      <c r="AH20" s="442">
        <f>+OTH!AI9</f>
        <v>0</v>
      </c>
      <c r="AI20" s="442">
        <f>+OTH!AJ9</f>
        <v>0</v>
      </c>
      <c r="AJ20" s="442">
        <f>+OTH!AK9</f>
        <v>0</v>
      </c>
      <c r="AK20" s="442">
        <f>+OTH!AL9</f>
        <v>0</v>
      </c>
      <c r="AL20" s="442">
        <f>+OTH!AM9</f>
        <v>0</v>
      </c>
      <c r="AM20" s="442">
        <f>+OTH!AN9</f>
        <v>0</v>
      </c>
      <c r="AN20" s="442">
        <f>+OTH!AO9</f>
        <v>0</v>
      </c>
      <c r="AO20" s="118"/>
      <c r="AP20" s="118"/>
      <c r="AQ20" s="118"/>
    </row>
    <row r="21" spans="1:43" s="11" customFormat="1" ht="15">
      <c r="A21" s="65"/>
      <c r="B21" s="71" t="s">
        <v>330</v>
      </c>
      <c r="C21" s="481">
        <f>+'Historicals &amp; Projections'!C53</f>
        <v>10</v>
      </c>
      <c r="D21" s="481">
        <f>+'Historicals &amp; Projections'!D53</f>
        <v>10</v>
      </c>
      <c r="E21" s="442">
        <f>+OTH!F10</f>
        <v>21.969696969696972</v>
      </c>
      <c r="F21" s="442">
        <f>+OTH!G10</f>
        <v>29.446969696969699</v>
      </c>
      <c r="G21" s="442">
        <f>+OTH!H10</f>
        <v>36.924242424242422</v>
      </c>
      <c r="H21" s="442">
        <f>+OTH!I10</f>
        <v>44.401515151515149</v>
      </c>
      <c r="I21" s="442">
        <f>+OTH!J10</f>
        <v>51.878787878787875</v>
      </c>
      <c r="J21" s="442">
        <f>+OTH!K10</f>
        <v>59.348484848484851</v>
      </c>
      <c r="K21" s="442">
        <f>+OTH!L10</f>
        <v>66.818181818181813</v>
      </c>
      <c r="L21" s="442">
        <f>+OTH!M10</f>
        <v>74.287878787878796</v>
      </c>
      <c r="M21" s="442">
        <f>+OTH!N10</f>
        <v>81.757575757575751</v>
      </c>
      <c r="N21" s="442">
        <f>+OTH!O10</f>
        <v>89.227272727272734</v>
      </c>
      <c r="O21" s="442">
        <f>+OTH!P10</f>
        <v>96.696969696969703</v>
      </c>
      <c r="P21" s="442">
        <f>+OTH!Q10</f>
        <v>104.16666666666666</v>
      </c>
      <c r="Q21" s="442">
        <f>+OTH!R10</f>
        <v>177.90909090909091</v>
      </c>
      <c r="R21" s="442">
        <f>+OTH!S10</f>
        <v>193.22727272727272</v>
      </c>
      <c r="S21" s="442">
        <f>+OTH!T10</f>
        <v>208.54545454545453</v>
      </c>
      <c r="T21" s="442">
        <f>+OTH!U10</f>
        <v>223.86363636363637</v>
      </c>
      <c r="U21" s="442">
        <f>+OTH!V10</f>
        <v>237.81818181818181</v>
      </c>
      <c r="V21" s="442">
        <f>+OTH!W10</f>
        <v>251.22727272727272</v>
      </c>
      <c r="W21" s="442">
        <f>+OTH!X10</f>
        <v>264.63636363636363</v>
      </c>
      <c r="X21" s="442">
        <f>+OTH!Y10</f>
        <v>278.04545454545456</v>
      </c>
      <c r="Y21" s="442">
        <f>+OTH!Z10</f>
        <v>291.44696969696969</v>
      </c>
      <c r="Z21" s="442">
        <f>+OTH!AA10</f>
        <v>304.84848484848482</v>
      </c>
      <c r="AA21" s="442">
        <f>+OTH!AB10</f>
        <v>318.25</v>
      </c>
      <c r="AB21" s="442">
        <f>+OTH!AC10</f>
        <v>331.65151515151518</v>
      </c>
      <c r="AC21" s="442">
        <f>+OTH!AD10</f>
        <v>373.96212121212119</v>
      </c>
      <c r="AD21" s="442">
        <f>+OTH!AE10</f>
        <v>391.47727272727275</v>
      </c>
      <c r="AE21" s="442">
        <f>+OTH!AF10</f>
        <v>408.99242424242425</v>
      </c>
      <c r="AF21" s="442">
        <f>+OTH!AG10</f>
        <v>426.50757575757575</v>
      </c>
      <c r="AG21" s="442">
        <f>+OTH!AH10</f>
        <v>444.02272727272725</v>
      </c>
      <c r="AH21" s="442">
        <f>+OTH!AI10</f>
        <v>461.53787878787881</v>
      </c>
      <c r="AI21" s="442">
        <f>+OTH!AJ10</f>
        <v>479.04545454545456</v>
      </c>
      <c r="AJ21" s="442">
        <f>+OTH!AK10</f>
        <v>496.55303030303031</v>
      </c>
      <c r="AK21" s="442">
        <f>+OTH!AL10</f>
        <v>514.06060606060601</v>
      </c>
      <c r="AL21" s="442">
        <f>+OTH!AM10</f>
        <v>531.56818181818187</v>
      </c>
      <c r="AM21" s="442">
        <f>+OTH!AN10</f>
        <v>549.07575757575762</v>
      </c>
      <c r="AN21" s="442">
        <f>+OTH!AO10</f>
        <v>566.58333333333326</v>
      </c>
      <c r="AO21" s="118"/>
      <c r="AP21" s="118"/>
      <c r="AQ21" s="118"/>
    </row>
    <row r="22" spans="1:43" s="11" customFormat="1" ht="15">
      <c r="A22" s="65"/>
      <c r="B22" s="71" t="s">
        <v>331</v>
      </c>
      <c r="C22" s="481">
        <f>+'Historicals &amp; Projections'!C54</f>
        <v>10</v>
      </c>
      <c r="D22" s="481">
        <f>+'Historicals &amp; Projections'!D54</f>
        <v>10</v>
      </c>
      <c r="E22" s="442">
        <f>+OTH!F11</f>
        <v>24.124387254901958</v>
      </c>
      <c r="F22" s="442">
        <f>+OTH!G11</f>
        <v>32.553523284313727</v>
      </c>
      <c r="G22" s="442">
        <f>+OTH!H11</f>
        <v>40.982659313725492</v>
      </c>
      <c r="H22" s="442">
        <f>+OTH!I11</f>
        <v>49.411795343137257</v>
      </c>
      <c r="I22" s="442">
        <f>+OTH!J11</f>
        <v>57.840931372549036</v>
      </c>
      <c r="J22" s="442">
        <f>+OTH!K11</f>
        <v>66.2610906862745</v>
      </c>
      <c r="K22" s="442">
        <f>+OTH!L11</f>
        <v>74.681250000000006</v>
      </c>
      <c r="L22" s="442">
        <f>+OTH!M11</f>
        <v>83.101409313725497</v>
      </c>
      <c r="M22" s="442">
        <f>+OTH!N11</f>
        <v>91.521568627450989</v>
      </c>
      <c r="N22" s="442">
        <f>+OTH!O11</f>
        <v>99.941727941176467</v>
      </c>
      <c r="O22" s="442">
        <f>+OTH!P11</f>
        <v>108.36188725490196</v>
      </c>
      <c r="P22" s="442">
        <f>+OTH!Q11</f>
        <v>116.78204656862748</v>
      </c>
      <c r="Q22" s="442">
        <f>+OTH!R11</f>
        <v>196.01213235294117</v>
      </c>
      <c r="R22" s="442">
        <f>+OTH!S11</f>
        <v>213.51672794117647</v>
      </c>
      <c r="S22" s="442">
        <f>+OTH!T11</f>
        <v>231.02132352941177</v>
      </c>
      <c r="T22" s="442">
        <f>+OTH!U11</f>
        <v>248.52591911764705</v>
      </c>
      <c r="U22" s="442">
        <f>+OTH!V11</f>
        <v>264.41470588235296</v>
      </c>
      <c r="V22" s="442">
        <f>+OTH!W11</f>
        <v>279.87261029411764</v>
      </c>
      <c r="W22" s="442">
        <f>+OTH!X11</f>
        <v>295.33051470588236</v>
      </c>
      <c r="X22" s="442">
        <f>+OTH!Y11</f>
        <v>310.78841911764704</v>
      </c>
      <c r="Y22" s="442">
        <f>+OTH!Z11</f>
        <v>326.23734681372554</v>
      </c>
      <c r="Z22" s="442">
        <f>+OTH!AA11</f>
        <v>341.68627450980392</v>
      </c>
      <c r="AA22" s="442">
        <f>+OTH!AB11</f>
        <v>357.13520220588236</v>
      </c>
      <c r="AB22" s="442">
        <f>+OTH!AC11</f>
        <v>372.58412990196075</v>
      </c>
      <c r="AC22" s="442">
        <f>+OTH!AD11</f>
        <v>411.64188112745103</v>
      </c>
      <c r="AD22" s="442">
        <f>+OTH!AE11</f>
        <v>431.42656249999999</v>
      </c>
      <c r="AE22" s="442">
        <f>+OTH!AF11</f>
        <v>451.21124387254901</v>
      </c>
      <c r="AF22" s="442">
        <f>+OTH!AG11</f>
        <v>470.99592524509814</v>
      </c>
      <c r="AG22" s="442">
        <f>+OTH!AH11</f>
        <v>490.78060661764704</v>
      </c>
      <c r="AH22" s="442">
        <f>+OTH!AI11</f>
        <v>510.56528799019605</v>
      </c>
      <c r="AI22" s="442">
        <f>+OTH!AJ11</f>
        <v>530.34099264705878</v>
      </c>
      <c r="AJ22" s="442">
        <f>+OTH!AK11</f>
        <v>550.11669730392168</v>
      </c>
      <c r="AK22" s="442">
        <f>+OTH!AL11</f>
        <v>569.89240196078424</v>
      </c>
      <c r="AL22" s="442">
        <f>+OTH!AM11</f>
        <v>589.66810661764703</v>
      </c>
      <c r="AM22" s="442">
        <f>+OTH!AN11</f>
        <v>609.44381127450993</v>
      </c>
      <c r="AN22" s="442">
        <f>+OTH!AO11</f>
        <v>629.2195159313726</v>
      </c>
      <c r="AO22" s="118"/>
      <c r="AP22" s="118"/>
      <c r="AQ22" s="118"/>
    </row>
    <row r="23" spans="1:43" s="11" customFormat="1" ht="15">
      <c r="A23" s="65"/>
      <c r="B23" s="72" t="s">
        <v>321</v>
      </c>
      <c r="C23" s="484">
        <f t="shared" ref="C23:P23" si="12">SUM(C19:C22)</f>
        <v>190</v>
      </c>
      <c r="D23" s="484">
        <f t="shared" si="12"/>
        <v>160</v>
      </c>
      <c r="E23" s="455">
        <f>SUM(E19:E22)</f>
        <v>46.09408422459893</v>
      </c>
      <c r="F23" s="455">
        <f t="shared" si="12"/>
        <v>62.000492981283429</v>
      </c>
      <c r="G23" s="455">
        <f t="shared" si="12"/>
        <v>77.906901737967914</v>
      </c>
      <c r="H23" s="455">
        <f t="shared" si="12"/>
        <v>93.813310494652399</v>
      </c>
      <c r="I23" s="455">
        <f t="shared" si="12"/>
        <v>109.71971925133691</v>
      </c>
      <c r="J23" s="455">
        <f t="shared" si="12"/>
        <v>125.60957553475936</v>
      </c>
      <c r="K23" s="455">
        <f t="shared" si="12"/>
        <v>141.49943181818182</v>
      </c>
      <c r="L23" s="455">
        <f t="shared" si="12"/>
        <v>157.38928810160428</v>
      </c>
      <c r="M23" s="455">
        <f t="shared" si="12"/>
        <v>223.27914438502674</v>
      </c>
      <c r="N23" s="455">
        <f t="shared" si="12"/>
        <v>189.1690006684492</v>
      </c>
      <c r="O23" s="455">
        <f t="shared" si="12"/>
        <v>205.05885695187166</v>
      </c>
      <c r="P23" s="455">
        <f t="shared" si="12"/>
        <v>220.94871323529412</v>
      </c>
      <c r="Q23" s="455">
        <f t="shared" ref="Q23:AI23" si="13">SUM(Q19:Q22)</f>
        <v>373.92122326203207</v>
      </c>
      <c r="R23" s="455">
        <f t="shared" si="13"/>
        <v>406.74400066844919</v>
      </c>
      <c r="S23" s="455">
        <f t="shared" si="13"/>
        <v>439.56677807486631</v>
      </c>
      <c r="T23" s="455">
        <f t="shared" si="13"/>
        <v>472.38955548128342</v>
      </c>
      <c r="U23" s="455">
        <f t="shared" si="13"/>
        <v>502.23288770053477</v>
      </c>
      <c r="V23" s="455">
        <f t="shared" si="13"/>
        <v>531.09988302139038</v>
      </c>
      <c r="W23" s="455">
        <f t="shared" si="13"/>
        <v>559.96687834224599</v>
      </c>
      <c r="X23" s="455">
        <f t="shared" si="13"/>
        <v>588.8338736631016</v>
      </c>
      <c r="Y23" s="455">
        <f t="shared" si="13"/>
        <v>617.68431651069523</v>
      </c>
      <c r="Z23" s="455">
        <f t="shared" si="13"/>
        <v>646.53475935828874</v>
      </c>
      <c r="AA23" s="455">
        <f t="shared" si="13"/>
        <v>675.38520220588236</v>
      </c>
      <c r="AB23" s="455">
        <f t="shared" si="13"/>
        <v>704.23564505347599</v>
      </c>
      <c r="AC23" s="455">
        <f t="shared" si="13"/>
        <v>785.60400233957216</v>
      </c>
      <c r="AD23" s="455">
        <f t="shared" si="13"/>
        <v>822.90383522727279</v>
      </c>
      <c r="AE23" s="455">
        <f t="shared" si="13"/>
        <v>860.2036681149732</v>
      </c>
      <c r="AF23" s="455">
        <f t="shared" si="13"/>
        <v>897.50350100267383</v>
      </c>
      <c r="AG23" s="455">
        <f t="shared" si="13"/>
        <v>934.80333389037423</v>
      </c>
      <c r="AH23" s="455">
        <f t="shared" si="13"/>
        <v>972.10316677807486</v>
      </c>
      <c r="AI23" s="455">
        <f t="shared" si="13"/>
        <v>1009.3864471925133</v>
      </c>
      <c r="AJ23" s="455">
        <f t="shared" ref="AJ23:AL23" si="14">SUM(AJ19:AJ22)</f>
        <v>1046.6697276069519</v>
      </c>
      <c r="AK23" s="455">
        <f t="shared" si="14"/>
        <v>1083.9530080213904</v>
      </c>
      <c r="AL23" s="455">
        <f t="shared" si="14"/>
        <v>1121.236288435829</v>
      </c>
      <c r="AM23" s="455">
        <f t="shared" ref="AM23:AN23" si="15">SUM(AM19:AM22)</f>
        <v>1158.5195688502677</v>
      </c>
      <c r="AN23" s="455">
        <f t="shared" si="15"/>
        <v>1195.8028492647059</v>
      </c>
      <c r="AO23" s="145"/>
      <c r="AP23" s="145"/>
      <c r="AQ23" s="145"/>
    </row>
    <row r="24" spans="1:43" s="11" customFormat="1" ht="15">
      <c r="A24" s="65"/>
      <c r="B24" s="138"/>
      <c r="C24" s="144"/>
      <c r="D24" s="144"/>
      <c r="E24" s="145"/>
      <c r="F24" s="145"/>
      <c r="G24" s="145"/>
      <c r="H24" s="145"/>
      <c r="I24" s="145"/>
      <c r="J24" s="184"/>
      <c r="K24" s="184"/>
      <c r="L24" s="184"/>
      <c r="M24" s="184"/>
      <c r="N24" s="184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62"/>
      <c r="AP24" s="62"/>
      <c r="AQ24" s="62"/>
    </row>
    <row r="25" spans="1:43" ht="15">
      <c r="A25" s="59"/>
      <c r="B25" s="122" t="s">
        <v>281</v>
      </c>
      <c r="C25" s="493">
        <f>C13-C17-C23</f>
        <v>1610</v>
      </c>
      <c r="D25" s="493">
        <f>D13-D17-D23</f>
        <v>1840</v>
      </c>
      <c r="E25" s="494">
        <f>+E13-E17-E23</f>
        <v>-95955.189538770093</v>
      </c>
      <c r="F25" s="494">
        <f>+F13-F17-F23</f>
        <v>-93960.192538435862</v>
      </c>
      <c r="G25" s="494">
        <f>+G13-G17-G23</f>
        <v>-91965.195538101631</v>
      </c>
      <c r="H25" s="494">
        <f>+H13-H17-H23</f>
        <v>-89970.198537767399</v>
      </c>
      <c r="I25" s="494">
        <f>+I13-I17-I23</f>
        <v>-87975.201537433211</v>
      </c>
      <c r="J25" s="494">
        <f t="shared" ref="J25:P25" si="16">+J13-J17-J23</f>
        <v>-85981.928514928717</v>
      </c>
      <c r="K25" s="494">
        <f t="shared" si="16"/>
        <v>-83988.655492424266</v>
      </c>
      <c r="L25" s="494">
        <f t="shared" si="16"/>
        <v>-81995.382469919816</v>
      </c>
      <c r="M25" s="494">
        <f t="shared" si="16"/>
        <v>-80052.109447415365</v>
      </c>
      <c r="N25" s="494">
        <f t="shared" si="16"/>
        <v>-78008.8364249109</v>
      </c>
      <c r="O25" s="494">
        <f t="shared" si="16"/>
        <v>-76015.563402406435</v>
      </c>
      <c r="P25" s="494">
        <f t="shared" si="16"/>
        <v>-74022.290379902013</v>
      </c>
      <c r="Q25" s="494">
        <f t="shared" ref="Q25:AI25" si="17">+Q13-Q17-Q23</f>
        <v>-39521.831003565079</v>
      </c>
      <c r="R25" s="494">
        <f t="shared" si="17"/>
        <v>-35595.801508244214</v>
      </c>
      <c r="S25" s="494">
        <f t="shared" si="17"/>
        <v>-31669.772012923368</v>
      </c>
      <c r="T25" s="494">
        <f t="shared" si="17"/>
        <v>-27743.742517602506</v>
      </c>
      <c r="U25" s="494">
        <f t="shared" si="17"/>
        <v>-24128.029031639933</v>
      </c>
      <c r="V25" s="494">
        <f t="shared" si="17"/>
        <v>-20783.157390597156</v>
      </c>
      <c r="W25" s="494">
        <f t="shared" si="17"/>
        <v>-17438.285749554379</v>
      </c>
      <c r="X25" s="494">
        <f t="shared" si="17"/>
        <v>-14093.414108511588</v>
      </c>
      <c r="Y25" s="494">
        <f t="shared" si="17"/>
        <v>-10750.266445298603</v>
      </c>
      <c r="Z25" s="494">
        <f t="shared" si="17"/>
        <v>-7407.1187820856176</v>
      </c>
      <c r="AA25" s="494">
        <f t="shared" si="17"/>
        <v>-4063.9711188725601</v>
      </c>
      <c r="AB25" s="494">
        <f t="shared" si="17"/>
        <v>-720.82345565951687</v>
      </c>
      <c r="AC25" s="494">
        <f t="shared" si="17"/>
        <v>4900.9093261452399</v>
      </c>
      <c r="AD25" s="494">
        <f t="shared" si="17"/>
        <v>9546.9655538636325</v>
      </c>
      <c r="AE25" s="494">
        <f t="shared" si="17"/>
        <v>14193.021781582025</v>
      </c>
      <c r="AF25" s="494">
        <f t="shared" si="17"/>
        <v>18839.078009300258</v>
      </c>
      <c r="AG25" s="494">
        <f t="shared" si="17"/>
        <v>23485.134237018723</v>
      </c>
      <c r="AH25" s="494">
        <f t="shared" si="17"/>
        <v>28131.190464737101</v>
      </c>
      <c r="AI25" s="494">
        <f t="shared" si="17"/>
        <v>32775.522714625673</v>
      </c>
      <c r="AJ25" s="494">
        <f t="shared" ref="AJ25:AL25" si="18">+AJ13-AJ17-AJ23</f>
        <v>37419.854964514212</v>
      </c>
      <c r="AK25" s="494">
        <f t="shared" si="18"/>
        <v>42064.187214402846</v>
      </c>
      <c r="AL25" s="494">
        <f t="shared" si="18"/>
        <v>46708.519464291443</v>
      </c>
      <c r="AM25" s="494">
        <f t="shared" ref="AM25:AN25" si="19">+AM13-AM17-AM23</f>
        <v>51352.851714179989</v>
      </c>
      <c r="AN25" s="494">
        <f t="shared" si="19"/>
        <v>55997.183964068558</v>
      </c>
      <c r="AO25" s="145"/>
      <c r="AP25" s="145"/>
      <c r="AQ25" s="145"/>
    </row>
    <row r="26" spans="1:43" ht="15">
      <c r="A26" s="59"/>
      <c r="B26" s="62"/>
      <c r="C26" s="75"/>
      <c r="D26" s="75"/>
      <c r="E26" s="118"/>
      <c r="F26" s="118"/>
      <c r="G26" s="118"/>
      <c r="H26" s="118"/>
      <c r="I26" s="118"/>
      <c r="J26" s="79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62"/>
      <c r="AP26" s="62"/>
      <c r="AQ26" s="62"/>
    </row>
    <row r="27" spans="1:43" ht="15">
      <c r="A27" s="59"/>
      <c r="B27" s="105" t="s">
        <v>33</v>
      </c>
      <c r="C27" s="481">
        <f>'Historicals &amp; Projections'!C59</f>
        <v>100</v>
      </c>
      <c r="D27" s="481">
        <f>'Historicals &amp; Projections'!D59</f>
        <v>100</v>
      </c>
      <c r="E27" s="442">
        <f>+'TA '!F49+IA!F49</f>
        <v>29</v>
      </c>
      <c r="F27" s="442">
        <f>+'TA '!G49+IA!G49</f>
        <v>29</v>
      </c>
      <c r="G27" s="442">
        <f>+'TA '!H49+IA!H49</f>
        <v>29</v>
      </c>
      <c r="H27" s="442">
        <f>+'TA '!I49+IA!I49</f>
        <v>29</v>
      </c>
      <c r="I27" s="442">
        <f>+'TA '!J49+IA!J49</f>
        <v>29</v>
      </c>
      <c r="J27" s="442">
        <f>+'TA '!K49+IA!K49</f>
        <v>29</v>
      </c>
      <c r="K27" s="442">
        <f>+'TA '!L49+IA!L49</f>
        <v>29</v>
      </c>
      <c r="L27" s="442">
        <f>+'TA '!M49+IA!M49</f>
        <v>29</v>
      </c>
      <c r="M27" s="442">
        <f>+'TA '!N49+IA!N49</f>
        <v>29</v>
      </c>
      <c r="N27" s="442">
        <f>+'TA '!O49+IA!O49</f>
        <v>29</v>
      </c>
      <c r="O27" s="442">
        <f>+'TA '!P49+IA!P49</f>
        <v>29</v>
      </c>
      <c r="P27" s="442">
        <f>+'TA '!Q49+IA!Q49</f>
        <v>29</v>
      </c>
      <c r="Q27" s="442">
        <f>+'TA '!R49+IA!R49</f>
        <v>29</v>
      </c>
      <c r="R27" s="442">
        <f>+'TA '!S49+IA!S49</f>
        <v>320.66666666666669</v>
      </c>
      <c r="S27" s="442">
        <f>+'TA '!T49+IA!T49</f>
        <v>320.66666666666669</v>
      </c>
      <c r="T27" s="442">
        <f>+'TA '!U49+IA!U49</f>
        <v>320.66666666666669</v>
      </c>
      <c r="U27" s="442">
        <f>+'TA '!V49+IA!V49</f>
        <v>320.66666666666669</v>
      </c>
      <c r="V27" s="442">
        <f>+'TA '!W49+IA!W49</f>
        <v>320.66666666666669</v>
      </c>
      <c r="W27" s="442">
        <f>+'TA '!X49+IA!X49</f>
        <v>320.66666666666669</v>
      </c>
      <c r="X27" s="442">
        <f>+'TA '!Y49+IA!Y49</f>
        <v>320.66666666666669</v>
      </c>
      <c r="Y27" s="442">
        <f>+'TA '!Z49+IA!Z49</f>
        <v>320.66666666666669</v>
      </c>
      <c r="Z27" s="442">
        <f>+'TA '!AA49+IA!AA49</f>
        <v>320.66666666666669</v>
      </c>
      <c r="AA27" s="442">
        <f>+'TA '!AB49+IA!AB49</f>
        <v>320.66666666666669</v>
      </c>
      <c r="AB27" s="442">
        <f>+'TA '!AC49+IA!AC49</f>
        <v>320.66666666666669</v>
      </c>
      <c r="AC27" s="442">
        <f>+'TA '!AD49+IA!AD49</f>
        <v>1654</v>
      </c>
      <c r="AD27" s="442">
        <f>+'TA '!AE49+IA!AE49</f>
        <v>1654</v>
      </c>
      <c r="AE27" s="442">
        <f>+'TA '!AF49+IA!AF49</f>
        <v>1654</v>
      </c>
      <c r="AF27" s="442">
        <f>+'TA '!AG49+IA!AG49</f>
        <v>1654</v>
      </c>
      <c r="AG27" s="442">
        <f>+'TA '!AH49+IA!AH49</f>
        <v>1654</v>
      </c>
      <c r="AH27" s="442">
        <f>+'TA '!AI49+IA!AI49</f>
        <v>1654</v>
      </c>
      <c r="AI27" s="442">
        <f>+'TA '!AJ49+IA!AJ49</f>
        <v>1654</v>
      </c>
      <c r="AJ27" s="442">
        <f>+'TA '!AK49+IA!AK49</f>
        <v>1654</v>
      </c>
      <c r="AK27" s="442">
        <f>+'TA '!AL49+IA!AL49</f>
        <v>1654</v>
      </c>
      <c r="AL27" s="442">
        <f>+'TA '!AM49+IA!AM49</f>
        <v>1654</v>
      </c>
      <c r="AM27" s="442">
        <f>+'TA '!AN49+IA!AN49</f>
        <v>1654</v>
      </c>
      <c r="AN27" s="442">
        <f>+'TA '!AO49+IA!AO49</f>
        <v>1654</v>
      </c>
      <c r="AO27" s="118"/>
      <c r="AP27" s="118"/>
      <c r="AQ27" s="118"/>
    </row>
    <row r="28" spans="1:43" ht="15">
      <c r="A28" s="59"/>
      <c r="B28" s="105"/>
      <c r="C28" s="75"/>
      <c r="D28" s="75"/>
      <c r="E28" s="118"/>
      <c r="F28" s="118"/>
      <c r="G28" s="118"/>
      <c r="H28" s="118"/>
      <c r="I28" s="118"/>
      <c r="J28" s="79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62"/>
      <c r="AP28" s="62"/>
      <c r="AQ28" s="62"/>
    </row>
    <row r="29" spans="1:43" ht="15">
      <c r="A29" s="59"/>
      <c r="B29" s="122" t="s">
        <v>362</v>
      </c>
      <c r="C29" s="493">
        <f t="shared" ref="C29:P29" si="20">+C25-C27</f>
        <v>1510</v>
      </c>
      <c r="D29" s="493">
        <f t="shared" si="20"/>
        <v>1740</v>
      </c>
      <c r="E29" s="494">
        <f>+E25-E27</f>
        <v>-95984.189538770093</v>
      </c>
      <c r="F29" s="494">
        <f t="shared" si="20"/>
        <v>-93989.192538435862</v>
      </c>
      <c r="G29" s="494">
        <f t="shared" si="20"/>
        <v>-91994.195538101631</v>
      </c>
      <c r="H29" s="494">
        <f t="shared" si="20"/>
        <v>-89999.198537767399</v>
      </c>
      <c r="I29" s="494">
        <f t="shared" si="20"/>
        <v>-88004.201537433211</v>
      </c>
      <c r="J29" s="494">
        <f t="shared" si="20"/>
        <v>-86010.928514928717</v>
      </c>
      <c r="K29" s="494">
        <f t="shared" si="20"/>
        <v>-84017.655492424266</v>
      </c>
      <c r="L29" s="494">
        <f t="shared" si="20"/>
        <v>-82024.382469919816</v>
      </c>
      <c r="M29" s="494">
        <f t="shared" si="20"/>
        <v>-80081.109447415365</v>
      </c>
      <c r="N29" s="494">
        <f t="shared" si="20"/>
        <v>-78037.8364249109</v>
      </c>
      <c r="O29" s="494">
        <f t="shared" si="20"/>
        <v>-76044.563402406435</v>
      </c>
      <c r="P29" s="494">
        <f t="shared" si="20"/>
        <v>-74051.290379902013</v>
      </c>
      <c r="Q29" s="494">
        <f t="shared" ref="Q29:AI29" si="21">+Q25-Q27</f>
        <v>-39550.831003565079</v>
      </c>
      <c r="R29" s="494">
        <f t="shared" si="21"/>
        <v>-35916.468174910879</v>
      </c>
      <c r="S29" s="494">
        <f t="shared" si="21"/>
        <v>-31990.438679590035</v>
      </c>
      <c r="T29" s="494">
        <f t="shared" si="21"/>
        <v>-28064.409184269174</v>
      </c>
      <c r="U29" s="494">
        <f t="shared" si="21"/>
        <v>-24448.695698306601</v>
      </c>
      <c r="V29" s="494">
        <f t="shared" si="21"/>
        <v>-21103.824057263824</v>
      </c>
      <c r="W29" s="494">
        <f t="shared" si="21"/>
        <v>-17758.952416221047</v>
      </c>
      <c r="X29" s="494">
        <f t="shared" si="21"/>
        <v>-14414.080775178254</v>
      </c>
      <c r="Y29" s="494">
        <f t="shared" si="21"/>
        <v>-11070.933111965269</v>
      </c>
      <c r="Z29" s="494">
        <f t="shared" si="21"/>
        <v>-7727.7854487522845</v>
      </c>
      <c r="AA29" s="494">
        <f t="shared" si="21"/>
        <v>-4384.6377855392266</v>
      </c>
      <c r="AB29" s="494">
        <f t="shared" si="21"/>
        <v>-1041.4901223261836</v>
      </c>
      <c r="AC29" s="494">
        <f t="shared" si="21"/>
        <v>3246.9093261452399</v>
      </c>
      <c r="AD29" s="494">
        <f t="shared" si="21"/>
        <v>7892.9655538636325</v>
      </c>
      <c r="AE29" s="494">
        <f t="shared" si="21"/>
        <v>12539.021781582025</v>
      </c>
      <c r="AF29" s="494">
        <f t="shared" si="21"/>
        <v>17185.078009300258</v>
      </c>
      <c r="AG29" s="494">
        <f t="shared" si="21"/>
        <v>21831.134237018723</v>
      </c>
      <c r="AH29" s="494">
        <f t="shared" si="21"/>
        <v>26477.190464737101</v>
      </c>
      <c r="AI29" s="494">
        <f t="shared" si="21"/>
        <v>31121.522714625673</v>
      </c>
      <c r="AJ29" s="494">
        <f t="shared" ref="AJ29:AL29" si="22">+AJ25-AJ27</f>
        <v>35765.854964514212</v>
      </c>
      <c r="AK29" s="494">
        <f t="shared" si="22"/>
        <v>40410.187214402846</v>
      </c>
      <c r="AL29" s="494">
        <f t="shared" si="22"/>
        <v>45054.519464291443</v>
      </c>
      <c r="AM29" s="494">
        <f t="shared" ref="AM29:AN29" si="23">+AM25-AM27</f>
        <v>49698.851714179989</v>
      </c>
      <c r="AN29" s="494">
        <f t="shared" si="23"/>
        <v>54343.183964068558</v>
      </c>
      <c r="AO29" s="145"/>
      <c r="AP29" s="145"/>
      <c r="AQ29" s="145"/>
    </row>
    <row r="30" spans="1:43" ht="15">
      <c r="A30" s="59"/>
      <c r="B30" s="105"/>
      <c r="C30" s="75"/>
      <c r="D30" s="75"/>
      <c r="E30" s="118"/>
      <c r="F30" s="118"/>
      <c r="G30" s="118"/>
      <c r="H30" s="118"/>
      <c r="I30" s="118"/>
      <c r="J30" s="79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62"/>
      <c r="AP30" s="62"/>
      <c r="AQ30" s="62"/>
    </row>
    <row r="31" spans="1:43" ht="15">
      <c r="A31" s="59"/>
      <c r="B31" s="105" t="s">
        <v>34</v>
      </c>
      <c r="C31" s="481">
        <f>'Historicals &amp; Projections'!C63</f>
        <v>50</v>
      </c>
      <c r="D31" s="481">
        <f>'Historicals &amp; Projections'!D63</f>
        <v>50</v>
      </c>
      <c r="E31" s="442">
        <f>+FIN!D54+FIN!D56</f>
        <v>69475.694444444453</v>
      </c>
      <c r="F31" s="442">
        <f>+FIN!E54+FIN!E56</f>
        <v>69475.694444444453</v>
      </c>
      <c r="G31" s="442">
        <f>+FIN!F54+FIN!F56</f>
        <v>69475.694444444453</v>
      </c>
      <c r="H31" s="442">
        <f>+FIN!G54+FIN!G56</f>
        <v>34753.472222222226</v>
      </c>
      <c r="I31" s="442">
        <f>+FIN!H54+FIN!H56</f>
        <v>34753.472222222226</v>
      </c>
      <c r="J31" s="442">
        <f>+FIN!I54+FIN!I56</f>
        <v>34753.472222222226</v>
      </c>
      <c r="K31" s="442">
        <f>+FIN!J54+FIN!J56</f>
        <v>34753.472222222226</v>
      </c>
      <c r="L31" s="442">
        <f>+FIN!K54+FIN!K56</f>
        <v>34753.472222222226</v>
      </c>
      <c r="M31" s="442">
        <f>+FIN!L54+FIN!L56</f>
        <v>34753.472222222226</v>
      </c>
      <c r="N31" s="442">
        <f>+FIN!M54+FIN!M56</f>
        <v>34753.472222222226</v>
      </c>
      <c r="O31" s="442">
        <f>+FIN!N54+FIN!N56</f>
        <v>34753.472222222226</v>
      </c>
      <c r="P31" s="442">
        <f>+FIN!O54+FIN!O56</f>
        <v>34753.472222222226</v>
      </c>
      <c r="Q31" s="442">
        <f>+FIN!P54+FIN!P56</f>
        <v>177992.91666666669</v>
      </c>
      <c r="R31" s="442">
        <f>+FIN!Q54+FIN!Q56</f>
        <v>177992.91666666669</v>
      </c>
      <c r="S31" s="442">
        <f>+FIN!R54+FIN!R56</f>
        <v>177992.91666666669</v>
      </c>
      <c r="T31" s="442">
        <f>+FIN!S54+FIN!S56</f>
        <v>177992.91666666669</v>
      </c>
      <c r="U31" s="442">
        <f>+FIN!T54+FIN!T56</f>
        <v>177992.91666666669</v>
      </c>
      <c r="V31" s="442">
        <f>+FIN!U54+FIN!U56</f>
        <v>177992.91666666669</v>
      </c>
      <c r="W31" s="442">
        <f>+FIN!V54+FIN!V56</f>
        <v>177992.91666666669</v>
      </c>
      <c r="X31" s="442">
        <f>+FIN!W54+FIN!W56</f>
        <v>177992.91666666669</v>
      </c>
      <c r="Y31" s="442">
        <f>+FIN!X54+FIN!X56</f>
        <v>177992.91666666669</v>
      </c>
      <c r="Z31" s="442">
        <f>+FIN!Y54+FIN!Y56</f>
        <v>177992.91666666669</v>
      </c>
      <c r="AA31" s="442">
        <f>+FIN!Z54+FIN!Z56</f>
        <v>177992.91666666669</v>
      </c>
      <c r="AB31" s="442">
        <f>+FIN!AA54+FIN!AA56</f>
        <v>177992.91666666669</v>
      </c>
      <c r="AC31" s="442">
        <f>+FIN!AB54+FIN!AB56</f>
        <v>177992.91666666669</v>
      </c>
      <c r="AD31" s="442">
        <f>+FIN!AC54+FIN!AC56</f>
        <v>177992.91666666669</v>
      </c>
      <c r="AE31" s="442">
        <f>+FIN!AD54+FIN!AD56</f>
        <v>177992.91666666669</v>
      </c>
      <c r="AF31" s="442">
        <f>+FIN!AE54+FIN!AE56</f>
        <v>177992.91666666669</v>
      </c>
      <c r="AG31" s="442">
        <f>+FIN!AF54+FIN!AF56</f>
        <v>177992.91666666669</v>
      </c>
      <c r="AH31" s="442">
        <f>+FIN!AG54+FIN!AG56</f>
        <v>177992.91666666669</v>
      </c>
      <c r="AI31" s="442">
        <f>+FIN!AH54+FIN!AH56</f>
        <v>177992.91666666669</v>
      </c>
      <c r="AJ31" s="442">
        <f>+FIN!AI54+FIN!AI56</f>
        <v>177992.91666666669</v>
      </c>
      <c r="AK31" s="442">
        <f>+FIN!AJ54+FIN!AJ56</f>
        <v>177992.91666666669</v>
      </c>
      <c r="AL31" s="442">
        <f>+FIN!AK54+FIN!AK56</f>
        <v>177992.91666666669</v>
      </c>
      <c r="AM31" s="442">
        <f>+FIN!AL54+FIN!AL56</f>
        <v>177992.91666666669</v>
      </c>
      <c r="AN31" s="442">
        <f>+FIN!AM54+FIN!AM56</f>
        <v>177992.91666666669</v>
      </c>
      <c r="AO31" s="118"/>
      <c r="AP31" s="118"/>
      <c r="AQ31" s="118"/>
    </row>
    <row r="32" spans="1:43" ht="15">
      <c r="A32" s="59"/>
      <c r="B32" s="105" t="s">
        <v>35</v>
      </c>
      <c r="C32" s="481">
        <f>'Historicals &amp; Projections'!C64</f>
        <v>10</v>
      </c>
      <c r="D32" s="481">
        <f>'Historicals &amp; Projections'!D64</f>
        <v>10</v>
      </c>
      <c r="E32" s="442">
        <f>+FIN!D57</f>
        <v>0</v>
      </c>
      <c r="F32" s="442">
        <f>+FIN!E57</f>
        <v>0</v>
      </c>
      <c r="G32" s="442">
        <f>+FIN!F57</f>
        <v>0</v>
      </c>
      <c r="H32" s="442">
        <f>+FIN!G57</f>
        <v>0</v>
      </c>
      <c r="I32" s="442">
        <f>+FIN!H57</f>
        <v>0</v>
      </c>
      <c r="J32" s="442">
        <f>+FIN!I57</f>
        <v>0</v>
      </c>
      <c r="K32" s="442">
        <f>+FIN!J57</f>
        <v>0</v>
      </c>
      <c r="L32" s="442">
        <f>+FIN!K57</f>
        <v>0</v>
      </c>
      <c r="M32" s="442">
        <f>+FIN!L57</f>
        <v>0</v>
      </c>
      <c r="N32" s="442">
        <f>+FIN!M57</f>
        <v>0</v>
      </c>
      <c r="O32" s="442">
        <f>+FIN!N57</f>
        <v>0</v>
      </c>
      <c r="P32" s="442">
        <f>+FIN!O57</f>
        <v>0</v>
      </c>
      <c r="Q32" s="442">
        <f>+FIN!P57</f>
        <v>0</v>
      </c>
      <c r="R32" s="442">
        <f>+FIN!Q57</f>
        <v>0</v>
      </c>
      <c r="S32" s="442">
        <f>+FIN!R57</f>
        <v>0</v>
      </c>
      <c r="T32" s="442">
        <f>+FIN!S57</f>
        <v>0</v>
      </c>
      <c r="U32" s="442">
        <f>+FIN!T57</f>
        <v>0</v>
      </c>
      <c r="V32" s="442">
        <f>+FIN!U57</f>
        <v>0</v>
      </c>
      <c r="W32" s="442">
        <f>+FIN!V57</f>
        <v>0</v>
      </c>
      <c r="X32" s="442">
        <f>+FIN!W57</f>
        <v>0</v>
      </c>
      <c r="Y32" s="442">
        <f>+FIN!X57</f>
        <v>0</v>
      </c>
      <c r="Z32" s="442">
        <f>+FIN!Y57</f>
        <v>0</v>
      </c>
      <c r="AA32" s="442">
        <f>+FIN!Z57</f>
        <v>0</v>
      </c>
      <c r="AB32" s="442">
        <f>+FIN!AA57</f>
        <v>0</v>
      </c>
      <c r="AC32" s="442">
        <f>+FIN!AB57</f>
        <v>0</v>
      </c>
      <c r="AD32" s="442">
        <f>+FIN!AC57</f>
        <v>0</v>
      </c>
      <c r="AE32" s="442">
        <f>+FIN!AD57</f>
        <v>0</v>
      </c>
      <c r="AF32" s="442">
        <f>+FIN!AE57</f>
        <v>0</v>
      </c>
      <c r="AG32" s="442">
        <f>+FIN!AF57</f>
        <v>0</v>
      </c>
      <c r="AH32" s="442">
        <f>+FIN!AG57</f>
        <v>0</v>
      </c>
      <c r="AI32" s="442">
        <f>+FIN!AH57</f>
        <v>0</v>
      </c>
      <c r="AJ32" s="442">
        <f>+FIN!AI57</f>
        <v>0</v>
      </c>
      <c r="AK32" s="442">
        <f>+FIN!AJ57</f>
        <v>0</v>
      </c>
      <c r="AL32" s="442">
        <f>+FIN!AK57</f>
        <v>0</v>
      </c>
      <c r="AM32" s="442">
        <f>+FIN!AL57</f>
        <v>0</v>
      </c>
      <c r="AN32" s="442">
        <f>+FIN!AM57</f>
        <v>0</v>
      </c>
      <c r="AO32" s="118"/>
      <c r="AP32" s="118"/>
      <c r="AQ32" s="118"/>
    </row>
    <row r="33" spans="1:43" ht="15">
      <c r="A33" s="59"/>
      <c r="B33" s="109" t="s">
        <v>36</v>
      </c>
      <c r="C33" s="484">
        <f t="shared" ref="C33:P33" si="24">+C29-C31+C32</f>
        <v>1470</v>
      </c>
      <c r="D33" s="484">
        <f t="shared" si="24"/>
        <v>1700</v>
      </c>
      <c r="E33" s="443">
        <f>+E29-E31+E32</f>
        <v>-165459.88398321456</v>
      </c>
      <c r="F33" s="443">
        <f t="shared" si="24"/>
        <v>-163464.8869828803</v>
      </c>
      <c r="G33" s="443">
        <f t="shared" si="24"/>
        <v>-161469.8899825461</v>
      </c>
      <c r="H33" s="443">
        <f t="shared" si="24"/>
        <v>-124752.67075998962</v>
      </c>
      <c r="I33" s="443">
        <f t="shared" si="24"/>
        <v>-122757.67375965544</v>
      </c>
      <c r="J33" s="443">
        <f t="shared" si="24"/>
        <v>-120764.40073715095</v>
      </c>
      <c r="K33" s="443">
        <f t="shared" si="24"/>
        <v>-118771.12771464649</v>
      </c>
      <c r="L33" s="443">
        <f t="shared" si="24"/>
        <v>-116777.85469214205</v>
      </c>
      <c r="M33" s="443">
        <f t="shared" si="24"/>
        <v>-114834.58166963758</v>
      </c>
      <c r="N33" s="443">
        <f t="shared" si="24"/>
        <v>-112791.30864713312</v>
      </c>
      <c r="O33" s="443">
        <f t="shared" si="24"/>
        <v>-110798.03562462865</v>
      </c>
      <c r="P33" s="443">
        <f t="shared" si="24"/>
        <v>-108804.76260212425</v>
      </c>
      <c r="Q33" s="443">
        <f t="shared" ref="Q33:AI33" si="25">+Q29-Q31+Q32</f>
        <v>-217543.74767023177</v>
      </c>
      <c r="R33" s="443">
        <f t="shared" si="25"/>
        <v>-213909.38484157756</v>
      </c>
      <c r="S33" s="443">
        <f t="shared" si="25"/>
        <v>-209983.35534625672</v>
      </c>
      <c r="T33" s="443">
        <f t="shared" si="25"/>
        <v>-206057.32585093586</v>
      </c>
      <c r="U33" s="443">
        <f t="shared" si="25"/>
        <v>-202441.61236497329</v>
      </c>
      <c r="V33" s="443">
        <f t="shared" si="25"/>
        <v>-199096.7407239305</v>
      </c>
      <c r="W33" s="443">
        <f t="shared" si="25"/>
        <v>-195751.86908288774</v>
      </c>
      <c r="X33" s="443">
        <f t="shared" si="25"/>
        <v>-192406.99744184493</v>
      </c>
      <c r="Y33" s="443">
        <f t="shared" si="25"/>
        <v>-189063.84977863196</v>
      </c>
      <c r="Z33" s="443">
        <f t="shared" si="25"/>
        <v>-185720.70211541897</v>
      </c>
      <c r="AA33" s="443">
        <f t="shared" si="25"/>
        <v>-182377.55445220592</v>
      </c>
      <c r="AB33" s="443">
        <f t="shared" si="25"/>
        <v>-179034.40678899287</v>
      </c>
      <c r="AC33" s="443">
        <f t="shared" si="25"/>
        <v>-174746.00734052144</v>
      </c>
      <c r="AD33" s="443">
        <f t="shared" si="25"/>
        <v>-170099.95111280304</v>
      </c>
      <c r="AE33" s="443">
        <f t="shared" si="25"/>
        <v>-165453.89488508465</v>
      </c>
      <c r="AF33" s="443">
        <f t="shared" si="25"/>
        <v>-160807.83865736643</v>
      </c>
      <c r="AG33" s="443">
        <f t="shared" si="25"/>
        <v>-156161.78242964795</v>
      </c>
      <c r="AH33" s="443">
        <f t="shared" si="25"/>
        <v>-151515.72620192959</v>
      </c>
      <c r="AI33" s="443">
        <f t="shared" si="25"/>
        <v>-146871.39395204102</v>
      </c>
      <c r="AJ33" s="443">
        <f t="shared" ref="AJ33:AL33" si="26">+AJ29-AJ31+AJ32</f>
        <v>-142227.06170215248</v>
      </c>
      <c r="AK33" s="443">
        <f t="shared" si="26"/>
        <v>-137582.72945226385</v>
      </c>
      <c r="AL33" s="443">
        <f t="shared" si="26"/>
        <v>-132938.39720237523</v>
      </c>
      <c r="AM33" s="443">
        <f t="shared" ref="AM33:AN33" si="27">+AM29-AM31+AM32</f>
        <v>-128294.06495248669</v>
      </c>
      <c r="AN33" s="443">
        <f t="shared" si="27"/>
        <v>-123649.73270259812</v>
      </c>
      <c r="AO33" s="145"/>
      <c r="AP33" s="145"/>
      <c r="AQ33" s="145"/>
    </row>
    <row r="34" spans="1:43" ht="15">
      <c r="A34" s="59"/>
      <c r="B34" s="62"/>
      <c r="C34" s="75"/>
      <c r="D34" s="75"/>
      <c r="E34" s="118"/>
      <c r="F34" s="118"/>
      <c r="G34" s="118"/>
      <c r="H34" s="118"/>
      <c r="I34" s="118"/>
      <c r="J34" s="79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62"/>
      <c r="AP34" s="62"/>
      <c r="AQ34" s="62"/>
    </row>
    <row r="35" spans="1:43" ht="15">
      <c r="A35" s="59"/>
      <c r="B35" s="105" t="s">
        <v>37</v>
      </c>
      <c r="C35" s="481">
        <f>'Historicals &amp; Projections'!C67</f>
        <v>280</v>
      </c>
      <c r="D35" s="481">
        <f>'Historicals &amp; Projections'!D67</f>
        <v>310</v>
      </c>
      <c r="E35" s="442">
        <f>+'Income Tax'!E24</f>
        <v>0</v>
      </c>
      <c r="F35" s="442">
        <f>+'Income Tax'!F24</f>
        <v>0</v>
      </c>
      <c r="G35" s="442">
        <f>+'Income Tax'!G24</f>
        <v>0</v>
      </c>
      <c r="H35" s="442">
        <f>+'Income Tax'!H24</f>
        <v>0</v>
      </c>
      <c r="I35" s="442">
        <f>+'Income Tax'!I24</f>
        <v>0</v>
      </c>
      <c r="J35" s="442">
        <f>+'Income Tax'!J24</f>
        <v>0</v>
      </c>
      <c r="K35" s="442">
        <f>+'Income Tax'!K24</f>
        <v>0</v>
      </c>
      <c r="L35" s="442">
        <f>+'Income Tax'!L24</f>
        <v>0</v>
      </c>
      <c r="M35" s="442">
        <f>+'Income Tax'!M24</f>
        <v>0</v>
      </c>
      <c r="N35" s="442">
        <f>+'Income Tax'!N24</f>
        <v>0</v>
      </c>
      <c r="O35" s="442">
        <f>+'Income Tax'!O24</f>
        <v>0</v>
      </c>
      <c r="P35" s="442">
        <f>+'Income Tax'!P24</f>
        <v>0</v>
      </c>
      <c r="Q35" s="442">
        <f>+'Income Tax'!Q24</f>
        <v>0</v>
      </c>
      <c r="R35" s="442">
        <f>+'Income Tax'!R24</f>
        <v>0</v>
      </c>
      <c r="S35" s="442">
        <f>+'Income Tax'!S24</f>
        <v>0</v>
      </c>
      <c r="T35" s="442">
        <f>+'Income Tax'!T24</f>
        <v>0</v>
      </c>
      <c r="U35" s="442">
        <f>+'Income Tax'!U24</f>
        <v>0</v>
      </c>
      <c r="V35" s="442">
        <f>+'Income Tax'!V24</f>
        <v>0</v>
      </c>
      <c r="W35" s="442">
        <f>+'Income Tax'!W24</f>
        <v>0</v>
      </c>
      <c r="X35" s="442">
        <f>+'Income Tax'!X24</f>
        <v>0</v>
      </c>
      <c r="Y35" s="442">
        <f>+'Income Tax'!Y24</f>
        <v>0</v>
      </c>
      <c r="Z35" s="442">
        <f>+'Income Tax'!Z24</f>
        <v>0</v>
      </c>
      <c r="AA35" s="442">
        <f>+'Income Tax'!AA24</f>
        <v>0</v>
      </c>
      <c r="AB35" s="442">
        <f>+'Income Tax'!AB24</f>
        <v>0</v>
      </c>
      <c r="AC35" s="442">
        <f>+'Income Tax'!AC24</f>
        <v>0</v>
      </c>
      <c r="AD35" s="442">
        <f>+'Income Tax'!AD24</f>
        <v>0</v>
      </c>
      <c r="AE35" s="442">
        <f>+'Income Tax'!AE24</f>
        <v>0</v>
      </c>
      <c r="AF35" s="442">
        <f>+'Income Tax'!AF24</f>
        <v>0</v>
      </c>
      <c r="AG35" s="442">
        <f>+'Income Tax'!AG24</f>
        <v>0</v>
      </c>
      <c r="AH35" s="442">
        <f>+'Income Tax'!AH24</f>
        <v>0</v>
      </c>
      <c r="AI35" s="442">
        <f>+'Income Tax'!AI24</f>
        <v>0</v>
      </c>
      <c r="AJ35" s="442">
        <f>+'Income Tax'!AJ24</f>
        <v>0</v>
      </c>
      <c r="AK35" s="442">
        <f>+'Income Tax'!AK24</f>
        <v>0</v>
      </c>
      <c r="AL35" s="442">
        <f>+'Income Tax'!AL24</f>
        <v>0</v>
      </c>
      <c r="AM35" s="442">
        <f>+'Income Tax'!AM24</f>
        <v>0</v>
      </c>
      <c r="AN35" s="442">
        <f>+'Income Tax'!AN24</f>
        <v>0</v>
      </c>
      <c r="AO35" s="118"/>
      <c r="AP35" s="118"/>
      <c r="AQ35" s="118"/>
    </row>
    <row r="36" spans="1:43" ht="15">
      <c r="A36" s="59"/>
      <c r="B36" s="62"/>
      <c r="C36" s="75"/>
      <c r="D36" s="75"/>
      <c r="E36" s="118"/>
      <c r="F36" s="118"/>
      <c r="G36" s="118"/>
      <c r="H36" s="118"/>
      <c r="I36" s="118"/>
      <c r="J36" s="79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62"/>
      <c r="AP36" s="62"/>
      <c r="AQ36" s="62"/>
    </row>
    <row r="37" spans="1:43" ht="15">
      <c r="A37" s="59"/>
      <c r="B37" s="122" t="s">
        <v>42</v>
      </c>
      <c r="C37" s="493">
        <f t="shared" ref="C37:P37" si="28">+C33-C35</f>
        <v>1190</v>
      </c>
      <c r="D37" s="493">
        <f t="shared" si="28"/>
        <v>1390</v>
      </c>
      <c r="E37" s="494">
        <f t="shared" si="28"/>
        <v>-165459.88398321456</v>
      </c>
      <c r="F37" s="494">
        <f t="shared" si="28"/>
        <v>-163464.8869828803</v>
      </c>
      <c r="G37" s="494">
        <f t="shared" si="28"/>
        <v>-161469.8899825461</v>
      </c>
      <c r="H37" s="494">
        <f t="shared" si="28"/>
        <v>-124752.67075998962</v>
      </c>
      <c r="I37" s="494">
        <f t="shared" si="28"/>
        <v>-122757.67375965544</v>
      </c>
      <c r="J37" s="494">
        <f t="shared" si="28"/>
        <v>-120764.40073715095</v>
      </c>
      <c r="K37" s="494">
        <f t="shared" si="28"/>
        <v>-118771.12771464649</v>
      </c>
      <c r="L37" s="494">
        <f t="shared" si="28"/>
        <v>-116777.85469214205</v>
      </c>
      <c r="M37" s="494">
        <f t="shared" si="28"/>
        <v>-114834.58166963758</v>
      </c>
      <c r="N37" s="494">
        <f t="shared" si="28"/>
        <v>-112791.30864713312</v>
      </c>
      <c r="O37" s="494">
        <f t="shared" si="28"/>
        <v>-110798.03562462865</v>
      </c>
      <c r="P37" s="494">
        <f t="shared" si="28"/>
        <v>-108804.76260212425</v>
      </c>
      <c r="Q37" s="494">
        <f t="shared" ref="Q37:AI37" si="29">+Q33-Q35</f>
        <v>-217543.74767023177</v>
      </c>
      <c r="R37" s="494">
        <f t="shared" si="29"/>
        <v>-213909.38484157756</v>
      </c>
      <c r="S37" s="494">
        <f t="shared" si="29"/>
        <v>-209983.35534625672</v>
      </c>
      <c r="T37" s="494">
        <f t="shared" si="29"/>
        <v>-206057.32585093586</v>
      </c>
      <c r="U37" s="494">
        <f t="shared" si="29"/>
        <v>-202441.61236497329</v>
      </c>
      <c r="V37" s="494">
        <f t="shared" si="29"/>
        <v>-199096.7407239305</v>
      </c>
      <c r="W37" s="494">
        <f t="shared" si="29"/>
        <v>-195751.86908288774</v>
      </c>
      <c r="X37" s="494">
        <f t="shared" si="29"/>
        <v>-192406.99744184493</v>
      </c>
      <c r="Y37" s="494">
        <f t="shared" si="29"/>
        <v>-189063.84977863196</v>
      </c>
      <c r="Z37" s="494">
        <f t="shared" si="29"/>
        <v>-185720.70211541897</v>
      </c>
      <c r="AA37" s="494">
        <f t="shared" si="29"/>
        <v>-182377.55445220592</v>
      </c>
      <c r="AB37" s="494">
        <f t="shared" si="29"/>
        <v>-179034.40678899287</v>
      </c>
      <c r="AC37" s="494">
        <f t="shared" si="29"/>
        <v>-174746.00734052144</v>
      </c>
      <c r="AD37" s="494">
        <f t="shared" si="29"/>
        <v>-170099.95111280304</v>
      </c>
      <c r="AE37" s="494">
        <f t="shared" si="29"/>
        <v>-165453.89488508465</v>
      </c>
      <c r="AF37" s="494">
        <f t="shared" si="29"/>
        <v>-160807.83865736643</v>
      </c>
      <c r="AG37" s="494">
        <f t="shared" si="29"/>
        <v>-156161.78242964795</v>
      </c>
      <c r="AH37" s="494">
        <f t="shared" si="29"/>
        <v>-151515.72620192959</v>
      </c>
      <c r="AI37" s="494">
        <f t="shared" si="29"/>
        <v>-146871.39395204102</v>
      </c>
      <c r="AJ37" s="494">
        <f t="shared" ref="AJ37:AL37" si="30">+AJ33-AJ35</f>
        <v>-142227.06170215248</v>
      </c>
      <c r="AK37" s="494">
        <f t="shared" si="30"/>
        <v>-137582.72945226385</v>
      </c>
      <c r="AL37" s="494">
        <f t="shared" si="30"/>
        <v>-132938.39720237523</v>
      </c>
      <c r="AM37" s="494">
        <f t="shared" ref="AM37:AN37" si="31">+AM33-AM35</f>
        <v>-128294.06495248669</v>
      </c>
      <c r="AN37" s="494">
        <f t="shared" si="31"/>
        <v>-123649.73270259812</v>
      </c>
      <c r="AO37" s="145"/>
      <c r="AP37" s="145"/>
      <c r="AQ37" s="145"/>
    </row>
    <row r="38" spans="1:43" ht="15">
      <c r="A38" s="59"/>
      <c r="B38" s="62"/>
      <c r="C38" s="75"/>
      <c r="D38" s="75"/>
      <c r="E38" s="118"/>
      <c r="F38" s="118"/>
      <c r="G38" s="117"/>
      <c r="H38" s="117"/>
      <c r="I38" s="117"/>
      <c r="J38" s="79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</row>
    <row r="39" spans="1:43" ht="15">
      <c r="A39" s="59"/>
      <c r="B39" s="62"/>
      <c r="C39" s="62"/>
      <c r="D39" s="62"/>
      <c r="E39" s="117"/>
      <c r="F39" s="117"/>
      <c r="G39" s="117"/>
      <c r="H39" s="117"/>
      <c r="I39" s="117"/>
      <c r="J39" s="79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</row>
    <row r="40" spans="1:43" ht="15">
      <c r="A40" s="59"/>
      <c r="B40" s="62"/>
      <c r="C40" s="62"/>
      <c r="D40" s="62"/>
      <c r="E40" s="62"/>
      <c r="F40" s="62"/>
      <c r="G40" s="62"/>
      <c r="H40" s="62"/>
      <c r="I40" s="62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</row>
    <row r="41" spans="1:43" ht="15">
      <c r="A41" s="59"/>
      <c r="B41" s="77"/>
      <c r="C41" s="142"/>
      <c r="D41" s="142"/>
      <c r="E41" s="143"/>
      <c r="F41" s="143"/>
      <c r="G41" s="77"/>
      <c r="H41" s="77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</row>
    <row r="42" spans="1:43" ht="15">
      <c r="A42" s="5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</row>
    <row r="43" spans="1:43" ht="15">
      <c r="A43" s="59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</row>
    <row r="44" spans="1:43" ht="15">
      <c r="A44" s="59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</row>
    <row r="45" spans="1:43" ht="15">
      <c r="A45" s="59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</row>
    <row r="46" spans="1:43" ht="15">
      <c r="A46" s="59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</row>
    <row r="47" spans="1:43" ht="15">
      <c r="A47" s="59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</row>
    <row r="48" spans="1:43" ht="15">
      <c r="A48" s="59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</row>
    <row r="49" spans="1:43" ht="15">
      <c r="A49" s="59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</row>
    <row r="50" spans="1:43" ht="15">
      <c r="A50" s="59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</row>
    <row r="51" spans="1:43" ht="15">
      <c r="A51" s="59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</row>
    <row r="52" spans="1:43" ht="15">
      <c r="A52" s="59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</row>
    <row r="53" spans="1:43" ht="15">
      <c r="A53" s="59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</row>
    <row r="54" spans="1:43" ht="15">
      <c r="A54" s="59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</row>
    <row r="55" spans="1:43" ht="15">
      <c r="A55" s="59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</row>
    <row r="56" spans="1:43" ht="15">
      <c r="A56" s="59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</row>
    <row r="57" spans="1:43" ht="15">
      <c r="A57" s="59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</row>
    <row r="58" spans="1:43" ht="15">
      <c r="A58" s="59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</row>
    <row r="59" spans="1:43" ht="15">
      <c r="A59" s="59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</row>
    <row r="60" spans="1:43" ht="15">
      <c r="A60" s="59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</row>
    <row r="61" spans="1:43" ht="15">
      <c r="A61" s="59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</row>
    <row r="62" spans="1:43" ht="15">
      <c r="A62" s="59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</row>
    <row r="63" spans="1:43" ht="15">
      <c r="A63" s="59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</row>
    <row r="64" spans="1:43" ht="15">
      <c r="A64" s="59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</row>
    <row r="65" spans="1:43" ht="15">
      <c r="A65" s="59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</row>
    <row r="66" spans="1:43" ht="15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</row>
    <row r="67" spans="1:43" ht="15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</row>
    <row r="68" spans="1:43" ht="15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</row>
    <row r="69" spans="1:43" ht="15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</row>
    <row r="70" spans="1:43" ht="15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</row>
    <row r="71" spans="1:43" ht="15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</row>
    <row r="72" spans="1:43" ht="15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</row>
    <row r="73" spans="1:43" ht="15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</row>
    <row r="74" spans="1:43" ht="15">
      <c r="A74" s="59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</row>
    <row r="75" spans="1:43" ht="15">
      <c r="A75" s="59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</row>
    <row r="76" spans="1:43" ht="15">
      <c r="A76" s="59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</row>
    <row r="77" spans="1:43" ht="15">
      <c r="A77" s="59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</row>
    <row r="78" spans="1:43" ht="15">
      <c r="A78" s="59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</row>
    <row r="79" spans="1:43" ht="15">
      <c r="A79" s="59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</row>
    <row r="80" spans="1:43" ht="15">
      <c r="A80" s="59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</row>
    <row r="81" spans="1:43" ht="15">
      <c r="A81" s="59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</row>
    <row r="82" spans="1:43" ht="15">
      <c r="A82" s="59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</row>
    <row r="83" spans="1:43" ht="15">
      <c r="A83" s="59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</row>
    <row r="84" spans="1:43" ht="15">
      <c r="A84" s="59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</row>
    <row r="85" spans="1:43" ht="15">
      <c r="A85" s="59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</row>
    <row r="86" spans="1:43" ht="15">
      <c r="A86" s="59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</row>
    <row r="87" spans="1:43" ht="15">
      <c r="A87" s="59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</row>
    <row r="88" spans="1:43" ht="15">
      <c r="A88" s="59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</row>
    <row r="89" spans="1:43" ht="15">
      <c r="A89" s="59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</row>
    <row r="90" spans="1:43" ht="15">
      <c r="A90" s="59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</row>
    <row r="91" spans="1:43" ht="15">
      <c r="A91" s="59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</row>
    <row r="92" spans="1:43" ht="15">
      <c r="A92" s="59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</row>
    <row r="93" spans="1:43" ht="15">
      <c r="A93" s="59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</row>
    <row r="94" spans="1:43" ht="15">
      <c r="A94" s="59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</row>
    <row r="95" spans="1:43" ht="15">
      <c r="A95" s="59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</row>
    <row r="96" spans="1:43" ht="15">
      <c r="A96" s="59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</row>
    <row r="97" spans="1:43" ht="15">
      <c r="A97" s="59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</row>
    <row r="98" spans="1:43" ht="15">
      <c r="A98" s="59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</row>
    <row r="99" spans="1:43" ht="15">
      <c r="A99" s="59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</row>
    <row r="100" spans="1:43" ht="15">
      <c r="A100" s="59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</row>
    <row r="101" spans="1:43" ht="15">
      <c r="A101" s="59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</row>
    <row r="102" spans="1:43" ht="15">
      <c r="A102" s="59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</row>
    <row r="103" spans="1:43" ht="15">
      <c r="A103" s="59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</row>
    <row r="104" spans="1:43" ht="15">
      <c r="A104" s="59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</row>
    <row r="105" spans="1:43" ht="15">
      <c r="A105" s="59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</row>
    <row r="106" spans="1:43" ht="15">
      <c r="A106" s="59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</row>
    <row r="107" spans="1:43" ht="15">
      <c r="A107" s="59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</row>
    <row r="108" spans="1:43" ht="15">
      <c r="A108" s="59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</row>
    <row r="109" spans="1:43" ht="15">
      <c r="A109" s="59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</row>
    <row r="110" spans="1:43" ht="15">
      <c r="A110" s="59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</row>
    <row r="111" spans="1:43" ht="15">
      <c r="A111" s="59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</row>
    <row r="112" spans="1:43">
      <c r="A112" s="177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/>
  </sheetPr>
  <dimension ref="A1:AN145"/>
  <sheetViews>
    <sheetView showGridLines="0" zoomScaleNormal="100" workbookViewId="0">
      <pane xSplit="4" topLeftCell="E1" activePane="topRight" state="frozen"/>
      <selection pane="topRight" activeCell="F26" sqref="F26"/>
    </sheetView>
  </sheetViews>
  <sheetFormatPr baseColWidth="10" defaultColWidth="8.83203125" defaultRowHeight="14"/>
  <cols>
    <col min="1" max="1" width="2.6640625" style="21" customWidth="1"/>
    <col min="2" max="2" width="29.5" style="16" customWidth="1"/>
    <col min="3" max="3" width="12.1640625" style="21" customWidth="1"/>
    <col min="4" max="4" width="12.33203125" style="21" customWidth="1"/>
    <col min="5" max="40" width="12.33203125" style="16" customWidth="1"/>
    <col min="41" max="16384" width="8.83203125" style="16"/>
  </cols>
  <sheetData>
    <row r="1" spans="1:40" s="323" customFormat="1" ht="16">
      <c r="A1" s="297" t="s">
        <v>546</v>
      </c>
      <c r="B1" s="298"/>
      <c r="C1" s="299"/>
      <c r="D1" s="299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</row>
    <row r="2" spans="1:40" s="11" customFormat="1" ht="15">
      <c r="A2" s="6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</row>
    <row r="3" spans="1:40" s="11" customFormat="1" ht="15">
      <c r="A3" s="65"/>
      <c r="B3" s="66" t="s">
        <v>21</v>
      </c>
      <c r="C3" s="67">
        <f t="shared" ref="C3:P3" si="0">+C21-C34</f>
        <v>0</v>
      </c>
      <c r="D3" s="67">
        <f t="shared" si="0"/>
        <v>0</v>
      </c>
      <c r="E3" s="67">
        <f>+E21-E34</f>
        <v>0</v>
      </c>
      <c r="F3" s="67">
        <f>+F21-F34</f>
        <v>0</v>
      </c>
      <c r="G3" s="67">
        <f>+G21-G34</f>
        <v>0</v>
      </c>
      <c r="H3" s="67">
        <f>+H21-H34</f>
        <v>0</v>
      </c>
      <c r="I3" s="67">
        <f>+I21-I34</f>
        <v>0</v>
      </c>
      <c r="J3" s="67">
        <f t="shared" si="0"/>
        <v>0</v>
      </c>
      <c r="K3" s="67">
        <f t="shared" si="0"/>
        <v>0</v>
      </c>
      <c r="L3" s="67">
        <f t="shared" si="0"/>
        <v>0</v>
      </c>
      <c r="M3" s="67">
        <f t="shared" si="0"/>
        <v>0</v>
      </c>
      <c r="N3" s="67">
        <f t="shared" si="0"/>
        <v>0</v>
      </c>
      <c r="O3" s="67">
        <f t="shared" si="0"/>
        <v>0</v>
      </c>
      <c r="P3" s="67">
        <f t="shared" si="0"/>
        <v>0</v>
      </c>
      <c r="Q3" s="67">
        <f t="shared" ref="Q3:AJ3" si="1">+Q21-Q34</f>
        <v>0</v>
      </c>
      <c r="R3" s="67">
        <f t="shared" si="1"/>
        <v>0</v>
      </c>
      <c r="S3" s="67">
        <f t="shared" si="1"/>
        <v>0</v>
      </c>
      <c r="T3" s="67">
        <f t="shared" si="1"/>
        <v>0</v>
      </c>
      <c r="U3" s="67">
        <f t="shared" si="1"/>
        <v>0</v>
      </c>
      <c r="V3" s="67">
        <f t="shared" si="1"/>
        <v>0</v>
      </c>
      <c r="W3" s="67">
        <f t="shared" si="1"/>
        <v>0</v>
      </c>
      <c r="X3" s="67">
        <f t="shared" si="1"/>
        <v>0</v>
      </c>
      <c r="Y3" s="67">
        <f t="shared" si="1"/>
        <v>0</v>
      </c>
      <c r="Z3" s="67">
        <f t="shared" si="1"/>
        <v>0</v>
      </c>
      <c r="AA3" s="67">
        <f t="shared" si="1"/>
        <v>0</v>
      </c>
      <c r="AB3" s="67">
        <f t="shared" si="1"/>
        <v>0</v>
      </c>
      <c r="AC3" s="67">
        <f t="shared" si="1"/>
        <v>0</v>
      </c>
      <c r="AD3" s="67">
        <f t="shared" si="1"/>
        <v>0</v>
      </c>
      <c r="AE3" s="67">
        <f t="shared" si="1"/>
        <v>0</v>
      </c>
      <c r="AF3" s="67">
        <f t="shared" si="1"/>
        <v>0</v>
      </c>
      <c r="AG3" s="67">
        <f t="shared" si="1"/>
        <v>0</v>
      </c>
      <c r="AH3" s="67">
        <f t="shared" si="1"/>
        <v>0</v>
      </c>
      <c r="AI3" s="67">
        <f t="shared" si="1"/>
        <v>0</v>
      </c>
      <c r="AJ3" s="67">
        <f t="shared" si="1"/>
        <v>0</v>
      </c>
      <c r="AK3" s="67">
        <f t="shared" ref="AK3:AN3" si="2">+AK21-AK34</f>
        <v>0</v>
      </c>
      <c r="AL3" s="67">
        <f t="shared" si="2"/>
        <v>0</v>
      </c>
      <c r="AM3" s="67">
        <f t="shared" si="2"/>
        <v>0</v>
      </c>
      <c r="AN3" s="67">
        <f t="shared" si="2"/>
        <v>0</v>
      </c>
    </row>
    <row r="4" spans="1:40" s="11" customFormat="1" ht="15">
      <c r="A4" s="65"/>
      <c r="B4" s="66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</row>
    <row r="5" spans="1:40" s="11" customFormat="1" ht="15">
      <c r="A5" s="65"/>
      <c r="B5" s="124" t="s">
        <v>534</v>
      </c>
      <c r="C5" s="58"/>
      <c r="D5" s="58"/>
      <c r="E5" s="163">
        <f>'Revenue &amp; COGS Building'!O12</f>
        <v>46053</v>
      </c>
      <c r="F5" s="163">
        <f>'Revenue &amp; COGS Building'!P12</f>
        <v>46054</v>
      </c>
      <c r="G5" s="163">
        <f>'Revenue &amp; COGS Building'!Q12</f>
        <v>46082</v>
      </c>
      <c r="H5" s="163">
        <f>'Revenue &amp; COGS Building'!R12</f>
        <v>46113</v>
      </c>
      <c r="I5" s="163">
        <f>'Revenue &amp; COGS Building'!S12</f>
        <v>46143</v>
      </c>
      <c r="J5" s="163">
        <f>'Revenue &amp; COGS Building'!T12</f>
        <v>46174</v>
      </c>
      <c r="K5" s="163">
        <f>'Revenue &amp; COGS Building'!U12</f>
        <v>46204</v>
      </c>
      <c r="L5" s="163">
        <f>'Revenue &amp; COGS Building'!V12</f>
        <v>46235</v>
      </c>
      <c r="M5" s="163">
        <f>'Revenue &amp; COGS Building'!W12</f>
        <v>46266</v>
      </c>
      <c r="N5" s="163">
        <f>'Revenue &amp; COGS Building'!X12</f>
        <v>46296</v>
      </c>
      <c r="O5" s="163">
        <f>'Revenue &amp; COGS Building'!Y12</f>
        <v>46327</v>
      </c>
      <c r="P5" s="163">
        <f>'Revenue &amp; COGS Building'!Z12</f>
        <v>46357</v>
      </c>
      <c r="Q5" s="163">
        <f>'Revenue &amp; COGS Building'!AA12</f>
        <v>46388</v>
      </c>
      <c r="R5" s="163">
        <f>'Revenue &amp; COGS Building'!AB12</f>
        <v>46419</v>
      </c>
      <c r="S5" s="163">
        <f>'Revenue &amp; COGS Building'!AC12</f>
        <v>46447</v>
      </c>
      <c r="T5" s="163">
        <f>'Revenue &amp; COGS Building'!AD12</f>
        <v>46478</v>
      </c>
      <c r="U5" s="163">
        <f>'Revenue &amp; COGS Building'!AE12</f>
        <v>46508</v>
      </c>
      <c r="V5" s="163">
        <f>'Revenue &amp; COGS Building'!AF12</f>
        <v>46539</v>
      </c>
      <c r="W5" s="163">
        <f>'Revenue &amp; COGS Building'!AG12</f>
        <v>46569</v>
      </c>
      <c r="X5" s="163">
        <f>'Revenue &amp; COGS Building'!AH12</f>
        <v>46600</v>
      </c>
      <c r="Y5" s="163">
        <f>'Revenue &amp; COGS Building'!AI12</f>
        <v>46631</v>
      </c>
      <c r="Z5" s="163">
        <f>'Revenue &amp; COGS Building'!AJ12</f>
        <v>46661</v>
      </c>
      <c r="AA5" s="163">
        <f>'Revenue &amp; COGS Building'!AK12</f>
        <v>46692</v>
      </c>
      <c r="AB5" s="163">
        <f>'Revenue &amp; COGS Building'!AL12</f>
        <v>46722</v>
      </c>
      <c r="AC5" s="163">
        <f>'Revenue &amp; COGS Building'!AM12</f>
        <v>46753</v>
      </c>
      <c r="AD5" s="163">
        <f>'Revenue &amp; COGS Building'!AN12</f>
        <v>46784</v>
      </c>
      <c r="AE5" s="163">
        <f>'Revenue &amp; COGS Building'!AO12</f>
        <v>46813</v>
      </c>
      <c r="AF5" s="163">
        <f>'Revenue &amp; COGS Building'!AP12</f>
        <v>46844</v>
      </c>
      <c r="AG5" s="163">
        <f>'Revenue &amp; COGS Building'!AQ12</f>
        <v>46874</v>
      </c>
      <c r="AH5" s="163">
        <f>'Revenue &amp; COGS Building'!AR12</f>
        <v>46905</v>
      </c>
      <c r="AI5" s="163">
        <f>'Revenue &amp; COGS Building'!AS12</f>
        <v>46935</v>
      </c>
      <c r="AJ5" s="163">
        <f>'Revenue &amp; COGS Building'!AT12</f>
        <v>46966</v>
      </c>
      <c r="AK5" s="163">
        <f>'Revenue &amp; COGS Building'!AU12</f>
        <v>46997</v>
      </c>
      <c r="AL5" s="163">
        <f>'Revenue &amp; COGS Building'!AV12</f>
        <v>47027</v>
      </c>
      <c r="AM5" s="163">
        <f>'Revenue &amp; COGS Building'!AW12</f>
        <v>47058</v>
      </c>
      <c r="AN5" s="163">
        <f>'Revenue &amp; COGS Building'!AX12</f>
        <v>47088</v>
      </c>
    </row>
    <row r="6" spans="1:40" s="11" customFormat="1" ht="15">
      <c r="A6" s="65"/>
      <c r="B6" s="125" t="s">
        <v>532</v>
      </c>
      <c r="C6" s="58"/>
      <c r="D6" s="58"/>
      <c r="E6" s="428">
        <f>'Revenue &amp; COGS Building'!O13</f>
        <v>1</v>
      </c>
      <c r="F6" s="428">
        <f>'Revenue &amp; COGS Building'!P13</f>
        <v>2</v>
      </c>
      <c r="G6" s="428">
        <f>'Revenue &amp; COGS Building'!Q13</f>
        <v>3</v>
      </c>
      <c r="H6" s="428">
        <f>'Revenue &amp; COGS Building'!R13</f>
        <v>4</v>
      </c>
      <c r="I6" s="428">
        <f>'Revenue &amp; COGS Building'!S13</f>
        <v>5</v>
      </c>
      <c r="J6" s="428">
        <f>'Revenue &amp; COGS Building'!T13</f>
        <v>6</v>
      </c>
      <c r="K6" s="428">
        <f>'Revenue &amp; COGS Building'!U13</f>
        <v>7</v>
      </c>
      <c r="L6" s="428">
        <f>'Revenue &amp; COGS Building'!V13</f>
        <v>8</v>
      </c>
      <c r="M6" s="428">
        <f>'Revenue &amp; COGS Building'!W13</f>
        <v>9</v>
      </c>
      <c r="N6" s="428">
        <f>'Revenue &amp; COGS Building'!X13</f>
        <v>10</v>
      </c>
      <c r="O6" s="428">
        <f>'Revenue &amp; COGS Building'!Y13</f>
        <v>11</v>
      </c>
      <c r="P6" s="428">
        <f>'Revenue &amp; COGS Building'!Z13</f>
        <v>12</v>
      </c>
      <c r="Q6" s="428">
        <f>'Revenue &amp; COGS Building'!AA13</f>
        <v>13</v>
      </c>
      <c r="R6" s="428">
        <f>'Revenue &amp; COGS Building'!AB13</f>
        <v>14</v>
      </c>
      <c r="S6" s="428">
        <f>'Revenue &amp; COGS Building'!AC13</f>
        <v>15</v>
      </c>
      <c r="T6" s="428">
        <f>'Revenue &amp; COGS Building'!AD13</f>
        <v>16</v>
      </c>
      <c r="U6" s="428">
        <f>'Revenue &amp; COGS Building'!AE13</f>
        <v>17</v>
      </c>
      <c r="V6" s="428">
        <f>'Revenue &amp; COGS Building'!AF13</f>
        <v>18</v>
      </c>
      <c r="W6" s="428">
        <f>'Revenue &amp; COGS Building'!AG13</f>
        <v>19</v>
      </c>
      <c r="X6" s="428">
        <f>'Revenue &amp; COGS Building'!AH13</f>
        <v>20</v>
      </c>
      <c r="Y6" s="428">
        <f>'Revenue &amp; COGS Building'!AI13</f>
        <v>21</v>
      </c>
      <c r="Z6" s="428">
        <f>'Revenue &amp; COGS Building'!AJ13</f>
        <v>22</v>
      </c>
      <c r="AA6" s="428">
        <f>'Revenue &amp; COGS Building'!AK13</f>
        <v>23</v>
      </c>
      <c r="AB6" s="428">
        <f>'Revenue &amp; COGS Building'!AL13</f>
        <v>24</v>
      </c>
      <c r="AC6" s="428">
        <f>'Revenue &amp; COGS Building'!AM13</f>
        <v>25</v>
      </c>
      <c r="AD6" s="428">
        <f>'Revenue &amp; COGS Building'!AN13</f>
        <v>26</v>
      </c>
      <c r="AE6" s="428">
        <f>'Revenue &amp; COGS Building'!AO13</f>
        <v>27</v>
      </c>
      <c r="AF6" s="428">
        <f>'Revenue &amp; COGS Building'!AP13</f>
        <v>28</v>
      </c>
      <c r="AG6" s="428">
        <f>'Revenue &amp; COGS Building'!AQ13</f>
        <v>29</v>
      </c>
      <c r="AH6" s="428">
        <f>'Revenue &amp; COGS Building'!AR13</f>
        <v>30</v>
      </c>
      <c r="AI6" s="428">
        <f>'Revenue &amp; COGS Building'!AS13</f>
        <v>31</v>
      </c>
      <c r="AJ6" s="428">
        <f>'Revenue &amp; COGS Building'!AT13</f>
        <v>32</v>
      </c>
      <c r="AK6" s="428">
        <f>'Revenue &amp; COGS Building'!AU13</f>
        <v>33</v>
      </c>
      <c r="AL6" s="428">
        <f>'Revenue &amp; COGS Building'!AV13</f>
        <v>34</v>
      </c>
      <c r="AM6" s="428">
        <f>'Revenue &amp; COGS Building'!AW13</f>
        <v>35</v>
      </c>
      <c r="AN6" s="428">
        <f>'Revenue &amp; COGS Building'!AX13</f>
        <v>36</v>
      </c>
    </row>
    <row r="7" spans="1:40" s="11" customFormat="1" ht="15">
      <c r="A7" s="65"/>
      <c r="B7" s="125" t="s">
        <v>533</v>
      </c>
      <c r="C7" s="58"/>
      <c r="D7" s="58"/>
      <c r="E7" s="428">
        <f>'Revenue &amp; COGS Building'!O14</f>
        <v>1</v>
      </c>
      <c r="F7" s="428">
        <f>'Revenue &amp; COGS Building'!P14</f>
        <v>1</v>
      </c>
      <c r="G7" s="428">
        <f>'Revenue &amp; COGS Building'!Q14</f>
        <v>1</v>
      </c>
      <c r="H7" s="428">
        <f>'Revenue &amp; COGS Building'!R14</f>
        <v>1</v>
      </c>
      <c r="I7" s="428">
        <f>'Revenue &amp; COGS Building'!S14</f>
        <v>1</v>
      </c>
      <c r="J7" s="428">
        <f>'Revenue &amp; COGS Building'!T14</f>
        <v>1</v>
      </c>
      <c r="K7" s="428">
        <f>'Revenue &amp; COGS Building'!U14</f>
        <v>1</v>
      </c>
      <c r="L7" s="428">
        <f>'Revenue &amp; COGS Building'!V14</f>
        <v>1</v>
      </c>
      <c r="M7" s="428">
        <f>'Revenue &amp; COGS Building'!W14</f>
        <v>1</v>
      </c>
      <c r="N7" s="428">
        <f>'Revenue &amp; COGS Building'!X14</f>
        <v>1</v>
      </c>
      <c r="O7" s="428">
        <f>'Revenue &amp; COGS Building'!Y14</f>
        <v>1</v>
      </c>
      <c r="P7" s="428">
        <f>'Revenue &amp; COGS Building'!Z14</f>
        <v>1</v>
      </c>
      <c r="Q7" s="428">
        <f>'Revenue &amp; COGS Building'!AA14</f>
        <v>2</v>
      </c>
      <c r="R7" s="428">
        <f>'Revenue &amp; COGS Building'!AB14</f>
        <v>2</v>
      </c>
      <c r="S7" s="428">
        <f>'Revenue &amp; COGS Building'!AC14</f>
        <v>2</v>
      </c>
      <c r="T7" s="428">
        <f>'Revenue &amp; COGS Building'!AD14</f>
        <v>2</v>
      </c>
      <c r="U7" s="428">
        <f>'Revenue &amp; COGS Building'!AE14</f>
        <v>2</v>
      </c>
      <c r="V7" s="428">
        <f>'Revenue &amp; COGS Building'!AF14</f>
        <v>2</v>
      </c>
      <c r="W7" s="428">
        <f>'Revenue &amp; COGS Building'!AG14</f>
        <v>2</v>
      </c>
      <c r="X7" s="428">
        <f>'Revenue &amp; COGS Building'!AH14</f>
        <v>2</v>
      </c>
      <c r="Y7" s="428">
        <f>'Revenue &amp; COGS Building'!AI14</f>
        <v>2</v>
      </c>
      <c r="Z7" s="428">
        <f>'Revenue &amp; COGS Building'!AJ14</f>
        <v>2</v>
      </c>
      <c r="AA7" s="428">
        <f>'Revenue &amp; COGS Building'!AK14</f>
        <v>2</v>
      </c>
      <c r="AB7" s="428">
        <f>'Revenue &amp; COGS Building'!AL14</f>
        <v>2</v>
      </c>
      <c r="AC7" s="428">
        <f>'Revenue &amp; COGS Building'!AM14</f>
        <v>3</v>
      </c>
      <c r="AD7" s="428">
        <f>'Revenue &amp; COGS Building'!AN14</f>
        <v>3</v>
      </c>
      <c r="AE7" s="428">
        <f>'Revenue &amp; COGS Building'!AO14</f>
        <v>3</v>
      </c>
      <c r="AF7" s="428">
        <f>'Revenue &amp; COGS Building'!AP14</f>
        <v>3</v>
      </c>
      <c r="AG7" s="428">
        <f>'Revenue &amp; COGS Building'!AQ14</f>
        <v>3</v>
      </c>
      <c r="AH7" s="428">
        <f>'Revenue &amp; COGS Building'!AR14</f>
        <v>3</v>
      </c>
      <c r="AI7" s="428">
        <f>'Revenue &amp; COGS Building'!AS14</f>
        <v>3</v>
      </c>
      <c r="AJ7" s="428">
        <f>'Revenue &amp; COGS Building'!AT14</f>
        <v>3</v>
      </c>
      <c r="AK7" s="428">
        <f>'Revenue &amp; COGS Building'!AU14</f>
        <v>3</v>
      </c>
      <c r="AL7" s="428">
        <f>'Revenue &amp; COGS Building'!AV14</f>
        <v>3</v>
      </c>
      <c r="AM7" s="428">
        <f>'Revenue &amp; COGS Building'!AW14</f>
        <v>3</v>
      </c>
      <c r="AN7" s="428">
        <f>'Revenue &amp; COGS Building'!AX14</f>
        <v>3</v>
      </c>
    </row>
    <row r="8" spans="1:40" s="11" customFormat="1" ht="16" thickBot="1">
      <c r="A8" s="65"/>
      <c r="B8" s="346" t="s">
        <v>535</v>
      </c>
      <c r="C8" s="343">
        <f>'Historicals &amp; Projections'!C6</f>
        <v>2024</v>
      </c>
      <c r="D8" s="343">
        <f>'Historicals &amp; Projections'!D6</f>
        <v>2025</v>
      </c>
      <c r="E8" s="343">
        <f>'Revenue &amp; COGS Building'!O15</f>
        <v>2026</v>
      </c>
      <c r="F8" s="343">
        <f>'Revenue &amp; COGS Building'!P15</f>
        <v>2026</v>
      </c>
      <c r="G8" s="343">
        <f>'Revenue &amp; COGS Building'!Q15</f>
        <v>2026</v>
      </c>
      <c r="H8" s="343">
        <f>'Revenue &amp; COGS Building'!R15</f>
        <v>2026</v>
      </c>
      <c r="I8" s="343">
        <f>'Revenue &amp; COGS Building'!S15</f>
        <v>2026</v>
      </c>
      <c r="J8" s="343">
        <f>'Revenue &amp; COGS Building'!T15</f>
        <v>2026</v>
      </c>
      <c r="K8" s="343">
        <f>'Revenue &amp; COGS Building'!U15</f>
        <v>2026</v>
      </c>
      <c r="L8" s="343">
        <f>'Revenue &amp; COGS Building'!V15</f>
        <v>2026</v>
      </c>
      <c r="M8" s="343">
        <f>'Revenue &amp; COGS Building'!W15</f>
        <v>2026</v>
      </c>
      <c r="N8" s="343">
        <f>'Revenue &amp; COGS Building'!X15</f>
        <v>2026</v>
      </c>
      <c r="O8" s="343">
        <f>'Revenue &amp; COGS Building'!Y15</f>
        <v>2026</v>
      </c>
      <c r="P8" s="343">
        <f>'Revenue &amp; COGS Building'!Z15</f>
        <v>2026</v>
      </c>
      <c r="Q8" s="343">
        <f>'Revenue &amp; COGS Building'!AA15</f>
        <v>2027</v>
      </c>
      <c r="R8" s="343">
        <f>'Revenue &amp; COGS Building'!AB15</f>
        <v>2027</v>
      </c>
      <c r="S8" s="343">
        <f>'Revenue &amp; COGS Building'!AC15</f>
        <v>2027</v>
      </c>
      <c r="T8" s="343">
        <f>'Revenue &amp; COGS Building'!AD15</f>
        <v>2027</v>
      </c>
      <c r="U8" s="343">
        <f>'Revenue &amp; COGS Building'!AE15</f>
        <v>2027</v>
      </c>
      <c r="V8" s="343">
        <f>'Revenue &amp; COGS Building'!AF15</f>
        <v>2027</v>
      </c>
      <c r="W8" s="343">
        <f>'Revenue &amp; COGS Building'!AG15</f>
        <v>2027</v>
      </c>
      <c r="X8" s="343">
        <f>'Revenue &amp; COGS Building'!AH15</f>
        <v>2027</v>
      </c>
      <c r="Y8" s="343">
        <f>'Revenue &amp; COGS Building'!AI15</f>
        <v>2027</v>
      </c>
      <c r="Z8" s="343">
        <f>'Revenue &amp; COGS Building'!AJ15</f>
        <v>2027</v>
      </c>
      <c r="AA8" s="343">
        <f>'Revenue &amp; COGS Building'!AK15</f>
        <v>2027</v>
      </c>
      <c r="AB8" s="343">
        <f>'Revenue &amp; COGS Building'!AL15</f>
        <v>2027</v>
      </c>
      <c r="AC8" s="343">
        <f>'Revenue &amp; COGS Building'!AM15</f>
        <v>2028</v>
      </c>
      <c r="AD8" s="343">
        <f>'Revenue &amp; COGS Building'!AN15</f>
        <v>2028</v>
      </c>
      <c r="AE8" s="343">
        <f>'Revenue &amp; COGS Building'!AO15</f>
        <v>2028</v>
      </c>
      <c r="AF8" s="343">
        <f>'Revenue &amp; COGS Building'!AP15</f>
        <v>2028</v>
      </c>
      <c r="AG8" s="343">
        <f>'Revenue &amp; COGS Building'!AQ15</f>
        <v>2028</v>
      </c>
      <c r="AH8" s="343">
        <f>'Revenue &amp; COGS Building'!AR15</f>
        <v>2028</v>
      </c>
      <c r="AI8" s="343">
        <f>'Revenue &amp; COGS Building'!AS15</f>
        <v>2028</v>
      </c>
      <c r="AJ8" s="343">
        <f>'Revenue &amp; COGS Building'!AT15</f>
        <v>2028</v>
      </c>
      <c r="AK8" s="343">
        <f>'Revenue &amp; COGS Building'!AU15</f>
        <v>2028</v>
      </c>
      <c r="AL8" s="343">
        <f>'Revenue &amp; COGS Building'!AV15</f>
        <v>2028</v>
      </c>
      <c r="AM8" s="343">
        <f>'Revenue &amp; COGS Building'!AW15</f>
        <v>2028</v>
      </c>
      <c r="AN8" s="343">
        <f>'Revenue &amp; COGS Building'!AX15</f>
        <v>2028</v>
      </c>
    </row>
    <row r="9" spans="1:40" s="11" customFormat="1" ht="15">
      <c r="A9" s="65"/>
      <c r="B9" s="62"/>
      <c r="C9" s="75"/>
      <c r="D9" s="75"/>
      <c r="E9" s="118"/>
      <c r="F9" s="118"/>
      <c r="G9" s="118"/>
      <c r="H9" s="118"/>
      <c r="I9" s="118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</row>
    <row r="10" spans="1:40" s="11" customFormat="1" ht="15">
      <c r="A10" s="65"/>
      <c r="B10" s="105" t="s">
        <v>11</v>
      </c>
      <c r="C10" s="481">
        <f>'Historicals &amp; Projections'!C8</f>
        <v>175</v>
      </c>
      <c r="D10" s="481">
        <f>'Historicals &amp; Projections'!D8</f>
        <v>1310</v>
      </c>
      <c r="E10" s="442">
        <f>+CF!C34</f>
        <v>835097.12671893567</v>
      </c>
      <c r="F10" s="442">
        <f>+CF!D34</f>
        <v>671629.88612817042</v>
      </c>
      <c r="G10" s="442">
        <f>+CF!E34</f>
        <v>510157.64253773936</v>
      </c>
      <c r="H10" s="442">
        <f>+CF!F34</f>
        <v>-114597.38183013513</v>
      </c>
      <c r="I10" s="442">
        <f>+CF!G34</f>
        <v>-237357.40919767547</v>
      </c>
      <c r="J10" s="442">
        <f>+CF!H34</f>
        <v>-358124.13168518851</v>
      </c>
      <c r="K10" s="442">
        <f>+CF!I34</f>
        <v>-476897.58115019707</v>
      </c>
      <c r="L10" s="442">
        <f>+CF!J34</f>
        <v>-593677.75759270124</v>
      </c>
      <c r="M10" s="442">
        <f>+CF!K34</f>
        <v>-708514.66101270088</v>
      </c>
      <c r="N10" s="442">
        <f>+CF!L34</f>
        <v>-821308.29141019611</v>
      </c>
      <c r="O10" s="442">
        <f>+CF!M34</f>
        <v>-932108.64878518682</v>
      </c>
      <c r="P10" s="442">
        <f>+CF!N34</f>
        <v>-1040915.7331376731</v>
      </c>
      <c r="Q10" s="442">
        <f>+CF!O34</f>
        <v>-708738.88417173619</v>
      </c>
      <c r="R10" s="442">
        <f>+CF!P34</f>
        <v>-939891.88360709161</v>
      </c>
      <c r="S10" s="442">
        <f>+CF!Q34</f>
        <v>-1149618.8535471261</v>
      </c>
      <c r="T10" s="442">
        <f>+CF!R34</f>
        <v>-1355419.7939918397</v>
      </c>
      <c r="U10" s="442">
        <f>+CF!S34</f>
        <v>-1557599.2865964798</v>
      </c>
      <c r="V10" s="442">
        <f>+CF!T34</f>
        <v>-1756431.6587020112</v>
      </c>
      <c r="W10" s="442">
        <f>+CF!U34</f>
        <v>-1951919.1591665</v>
      </c>
      <c r="X10" s="442">
        <f>+CF!V34</f>
        <v>-2144061.7879899461</v>
      </c>
      <c r="Y10" s="442">
        <f>+CF!W34</f>
        <v>-2332861.2372926562</v>
      </c>
      <c r="Z10" s="442">
        <f>+CF!X34</f>
        <v>-2518317.5389321535</v>
      </c>
      <c r="AA10" s="442">
        <f>+CF!Y34</f>
        <v>-2700430.6929084375</v>
      </c>
      <c r="AB10" s="442">
        <f>+CF!Z34</f>
        <v>-2879200.6992215086</v>
      </c>
      <c r="AC10" s="442">
        <f>+CF!AA34</f>
        <v>-2132468.3230758584</v>
      </c>
      <c r="AD10" s="442">
        <f>+CF!AB34</f>
        <v>-2300987.7268053615</v>
      </c>
      <c r="AE10" s="442">
        <f>+CF!AC34</f>
        <v>-2464861.074307146</v>
      </c>
      <c r="AF10" s="442">
        <f>+CF!AD34</f>
        <v>-2624088.3655812126</v>
      </c>
      <c r="AG10" s="442">
        <f>+CF!AE34</f>
        <v>-2778669.6006275606</v>
      </c>
      <c r="AH10" s="442">
        <f>+CF!AF34</f>
        <v>-2928604.7794461902</v>
      </c>
      <c r="AI10" s="442">
        <f>+CF!AG34</f>
        <v>-3073895.5941574085</v>
      </c>
      <c r="AJ10" s="442">
        <f>+CF!AH34</f>
        <v>-3214542.076618738</v>
      </c>
      <c r="AK10" s="442">
        <f>+CF!AI34</f>
        <v>-3350544.2268301789</v>
      </c>
      <c r="AL10" s="442">
        <f>+CF!AJ34</f>
        <v>-3481902.0447917315</v>
      </c>
      <c r="AM10" s="442">
        <f>+CF!AK34</f>
        <v>-3608615.5305033955</v>
      </c>
      <c r="AN10" s="442">
        <f>+CF!AL34</f>
        <v>-3730684.6839651708</v>
      </c>
    </row>
    <row r="11" spans="1:40" s="11" customFormat="1" ht="15">
      <c r="A11" s="65"/>
      <c r="B11" s="105" t="s">
        <v>504</v>
      </c>
      <c r="C11" s="481">
        <f>'Historicals &amp; Projections'!C9</f>
        <v>450</v>
      </c>
      <c r="D11" s="481">
        <f>'Historicals &amp; Projections'!D9</f>
        <v>500</v>
      </c>
      <c r="E11" s="442">
        <f>+NWC!E22</f>
        <v>86.963383838383848</v>
      </c>
      <c r="F11" s="442">
        <f>+NWC!F22</f>
        <v>116.56092171717172</v>
      </c>
      <c r="G11" s="442">
        <f>+NWC!G22</f>
        <v>146.15845959595958</v>
      </c>
      <c r="H11" s="442">
        <f>+NWC!H22</f>
        <v>175.75599747474746</v>
      </c>
      <c r="I11" s="442">
        <f>+NWC!I22</f>
        <v>205.35353535353534</v>
      </c>
      <c r="J11" s="442">
        <f>+NWC!J22</f>
        <v>234.92108585858588</v>
      </c>
      <c r="K11" s="442">
        <f>+NWC!K22</f>
        <v>264.48863636363637</v>
      </c>
      <c r="L11" s="442">
        <f>+NWC!L22</f>
        <v>294.05618686868689</v>
      </c>
      <c r="M11" s="442">
        <f>+NWC!M22</f>
        <v>323.62373737373736</v>
      </c>
      <c r="N11" s="442">
        <f>+NWC!N22</f>
        <v>353.19128787878788</v>
      </c>
      <c r="O11" s="442">
        <f>+NWC!O22</f>
        <v>382.75883838383839</v>
      </c>
      <c r="P11" s="442">
        <f>+NWC!P22</f>
        <v>412.32638888888886</v>
      </c>
      <c r="Q11" s="442">
        <f>+NWC!Q22</f>
        <v>704.22348484848487</v>
      </c>
      <c r="R11" s="442">
        <f>+NWC!R22</f>
        <v>764.8579545454545</v>
      </c>
      <c r="S11" s="442">
        <f>+NWC!S22</f>
        <v>825.49242424242425</v>
      </c>
      <c r="T11" s="442">
        <f>+NWC!T22</f>
        <v>886.12689393939399</v>
      </c>
      <c r="U11" s="442">
        <f>+NWC!U22</f>
        <v>941.36363636363637</v>
      </c>
      <c r="V11" s="442">
        <f>+NWC!V22</f>
        <v>994.44128787878788</v>
      </c>
      <c r="W11" s="442">
        <f>+NWC!W22</f>
        <v>1047.5189393939395</v>
      </c>
      <c r="X11" s="442">
        <f>+NWC!X22</f>
        <v>1100.596590909091</v>
      </c>
      <c r="Y11" s="442">
        <f>+NWC!Y22</f>
        <v>1153.6442550505051</v>
      </c>
      <c r="Z11" s="442">
        <f>+NWC!Z22</f>
        <v>1206.6919191919192</v>
      </c>
      <c r="AA11" s="442">
        <f>+NWC!AA22</f>
        <v>1259.7395833333333</v>
      </c>
      <c r="AB11" s="442">
        <f>+NWC!AB22</f>
        <v>1312.7872474747476</v>
      </c>
      <c r="AC11" s="442">
        <f>+NWC!AC22</f>
        <v>1480.2667297979797</v>
      </c>
      <c r="AD11" s="442">
        <f>+NWC!AD22</f>
        <v>1549.597537878788</v>
      </c>
      <c r="AE11" s="442">
        <f>+NWC!AE22</f>
        <v>1618.9283459595961</v>
      </c>
      <c r="AF11" s="442">
        <f>+NWC!AF22</f>
        <v>1688.2591540404039</v>
      </c>
      <c r="AG11" s="442">
        <f>+NWC!AG22</f>
        <v>1757.5899621212122</v>
      </c>
      <c r="AH11" s="442">
        <f>+NWC!AH22</f>
        <v>1826.9207702020203</v>
      </c>
      <c r="AI11" s="442">
        <f>+NWC!AI22</f>
        <v>1896.221590909091</v>
      </c>
      <c r="AJ11" s="442">
        <f>+NWC!AJ22</f>
        <v>1965.5224116161619</v>
      </c>
      <c r="AK11" s="442">
        <f>+NWC!AK22</f>
        <v>2034.8232323232321</v>
      </c>
      <c r="AL11" s="442">
        <f>+NWC!AL22</f>
        <v>2104.124053030303</v>
      </c>
      <c r="AM11" s="442">
        <f>+NWC!AM22</f>
        <v>2173.4248737373737</v>
      </c>
      <c r="AN11" s="442">
        <f>+NWC!AN22</f>
        <v>2242.7256944444443</v>
      </c>
    </row>
    <row r="12" spans="1:40" s="11" customFormat="1" ht="15">
      <c r="A12" s="65"/>
      <c r="B12" s="105" t="s">
        <v>12</v>
      </c>
      <c r="C12" s="481">
        <f>'Historicals &amp; Projections'!C10</f>
        <v>200</v>
      </c>
      <c r="D12" s="481">
        <f>'Historicals &amp; Projections'!D10</f>
        <v>300</v>
      </c>
      <c r="E12" s="442">
        <f>+NWC!E23</f>
        <v>50.259140114379086</v>
      </c>
      <c r="F12" s="442">
        <f>+NWC!F23</f>
        <v>67.819840175653596</v>
      </c>
      <c r="G12" s="442">
        <f>+NWC!G23</f>
        <v>85.380540236928113</v>
      </c>
      <c r="H12" s="442">
        <f>+NWC!H23</f>
        <v>102.94124029820263</v>
      </c>
      <c r="I12" s="442">
        <f>+NWC!I23</f>
        <v>120.50194035947716</v>
      </c>
      <c r="J12" s="442">
        <f>+NWC!J23</f>
        <v>138.04393892973857</v>
      </c>
      <c r="K12" s="442">
        <f>+NWC!K23</f>
        <v>155.5859375</v>
      </c>
      <c r="L12" s="442">
        <f>+NWC!L23</f>
        <v>173.12793607026148</v>
      </c>
      <c r="M12" s="442">
        <f>+NWC!M23</f>
        <v>190.66993464052291</v>
      </c>
      <c r="N12" s="442">
        <f>+NWC!N23</f>
        <v>208.21193321078434</v>
      </c>
      <c r="O12" s="442">
        <f>+NWC!O23</f>
        <v>225.75393178104576</v>
      </c>
      <c r="P12" s="442">
        <f>+NWC!P23</f>
        <v>243.29593035130728</v>
      </c>
      <c r="Q12" s="442">
        <f>+NWC!Q23</f>
        <v>408.35860906862746</v>
      </c>
      <c r="R12" s="442">
        <f>+NWC!R23</f>
        <v>444.82651654411768</v>
      </c>
      <c r="S12" s="442">
        <f>+NWC!S23</f>
        <v>481.2944240196079</v>
      </c>
      <c r="T12" s="442">
        <f>+NWC!T23</f>
        <v>517.76233149509812</v>
      </c>
      <c r="U12" s="442">
        <f>+NWC!U23</f>
        <v>550.86397058823536</v>
      </c>
      <c r="V12" s="442">
        <f>+NWC!V23</f>
        <v>583.06793811274508</v>
      </c>
      <c r="W12" s="442">
        <f>+NWC!W23</f>
        <v>615.27190563725492</v>
      </c>
      <c r="X12" s="442">
        <f>+NWC!X23</f>
        <v>647.47587316176475</v>
      </c>
      <c r="Y12" s="442">
        <f>+NWC!Y23</f>
        <v>679.66113919526163</v>
      </c>
      <c r="Z12" s="442">
        <f>+NWC!Z23</f>
        <v>711.84640522875827</v>
      </c>
      <c r="AA12" s="442">
        <f>+NWC!AA23</f>
        <v>744.03167126225492</v>
      </c>
      <c r="AB12" s="442">
        <f>+NWC!AB23</f>
        <v>776.21693729575168</v>
      </c>
      <c r="AC12" s="442">
        <f>+NWC!AC23</f>
        <v>857.58725234885628</v>
      </c>
      <c r="AD12" s="442">
        <f>+NWC!AD23</f>
        <v>898.80533854166674</v>
      </c>
      <c r="AE12" s="442">
        <f>+NWC!AE23</f>
        <v>940.02342473447709</v>
      </c>
      <c r="AF12" s="442">
        <f>+NWC!AF23</f>
        <v>981.24151092728789</v>
      </c>
      <c r="AG12" s="442">
        <f>+NWC!AG23</f>
        <v>1022.4595971200981</v>
      </c>
      <c r="AH12" s="442">
        <f>+NWC!AH23</f>
        <v>1063.6776833129086</v>
      </c>
      <c r="AI12" s="442">
        <f>+NWC!AI23</f>
        <v>1104.8770680147059</v>
      </c>
      <c r="AJ12" s="442">
        <f>+NWC!AJ23</f>
        <v>1146.0764527165036</v>
      </c>
      <c r="AK12" s="442">
        <f>+NWC!AK23</f>
        <v>1187.2758374183006</v>
      </c>
      <c r="AL12" s="442">
        <f>+NWC!AL23</f>
        <v>1228.4752221200981</v>
      </c>
      <c r="AM12" s="442">
        <f>+NWC!AM23</f>
        <v>1269.6746068218958</v>
      </c>
      <c r="AN12" s="442">
        <f>+NWC!AN23</f>
        <v>1310.8739915236931</v>
      </c>
    </row>
    <row r="13" spans="1:40" s="11" customFormat="1" ht="15">
      <c r="A13" s="65"/>
      <c r="B13" s="105" t="s">
        <v>308</v>
      </c>
      <c r="C13" s="481">
        <f>'Historicals &amp; Projections'!C11</f>
        <v>100</v>
      </c>
      <c r="D13" s="481">
        <f>'Historicals &amp; Projections'!D11</f>
        <v>150</v>
      </c>
      <c r="E13" s="442">
        <f>NWC!E25</f>
        <v>27.462121212121211</v>
      </c>
      <c r="F13" s="442">
        <f>NWC!F25</f>
        <v>36.808712121212118</v>
      </c>
      <c r="G13" s="442">
        <f>NWC!G25</f>
        <v>46.155303030303024</v>
      </c>
      <c r="H13" s="442">
        <f>NWC!H25</f>
        <v>55.501893939393931</v>
      </c>
      <c r="I13" s="442">
        <f>NWC!I25</f>
        <v>64.848484848484844</v>
      </c>
      <c r="J13" s="442">
        <f>NWC!J25</f>
        <v>74.185606060606062</v>
      </c>
      <c r="K13" s="442">
        <f>NWC!K25</f>
        <v>83.522727272727266</v>
      </c>
      <c r="L13" s="442">
        <f>NWC!L25</f>
        <v>92.859848484848484</v>
      </c>
      <c r="M13" s="442">
        <f>NWC!M25</f>
        <v>102.19696969696969</v>
      </c>
      <c r="N13" s="442">
        <f>NWC!N25</f>
        <v>111.53409090909091</v>
      </c>
      <c r="O13" s="442">
        <f>NWC!O25</f>
        <v>120.87121212121212</v>
      </c>
      <c r="P13" s="442">
        <f>NWC!P25</f>
        <v>130.20833333333331</v>
      </c>
      <c r="Q13" s="442">
        <f>NWC!Q25</f>
        <v>222.38636363636363</v>
      </c>
      <c r="R13" s="442">
        <f>NWC!R25</f>
        <v>241.53409090909091</v>
      </c>
      <c r="S13" s="442">
        <f>NWC!S25</f>
        <v>260.68181818181819</v>
      </c>
      <c r="T13" s="442">
        <f>NWC!T25</f>
        <v>279.82954545454544</v>
      </c>
      <c r="U13" s="442">
        <f>NWC!U25</f>
        <v>297.27272727272725</v>
      </c>
      <c r="V13" s="442">
        <f>NWC!V25</f>
        <v>314.03409090909088</v>
      </c>
      <c r="W13" s="442">
        <f>NWC!W25</f>
        <v>330.7954545454545</v>
      </c>
      <c r="X13" s="442">
        <f>NWC!X25</f>
        <v>347.55681818181819</v>
      </c>
      <c r="Y13" s="442">
        <f>NWC!Y25</f>
        <v>364.30871212121212</v>
      </c>
      <c r="Z13" s="442">
        <f>NWC!Z25</f>
        <v>381.06060606060601</v>
      </c>
      <c r="AA13" s="442">
        <f>NWC!AA25</f>
        <v>397.8125</v>
      </c>
      <c r="AB13" s="442">
        <f>NWC!AB25</f>
        <v>414.56439393939394</v>
      </c>
      <c r="AC13" s="442">
        <f>NWC!AC25</f>
        <v>467.45265151515144</v>
      </c>
      <c r="AD13" s="442">
        <f>NWC!AD25</f>
        <v>489.34659090909088</v>
      </c>
      <c r="AE13" s="442">
        <f>NWC!AE25</f>
        <v>511.24053030303031</v>
      </c>
      <c r="AF13" s="442">
        <f>NWC!AF25</f>
        <v>533.13446969696963</v>
      </c>
      <c r="AG13" s="442">
        <f>NWC!AG25</f>
        <v>555.02840909090901</v>
      </c>
      <c r="AH13" s="442">
        <f>NWC!AH25</f>
        <v>576.9223484848485</v>
      </c>
      <c r="AI13" s="442">
        <f>NWC!AI25</f>
        <v>598.80681818181813</v>
      </c>
      <c r="AJ13" s="442">
        <f>NWC!AJ25</f>
        <v>620.69128787878788</v>
      </c>
      <c r="AK13" s="442">
        <f>NWC!AK25</f>
        <v>642.57575757575751</v>
      </c>
      <c r="AL13" s="442">
        <f>NWC!AL25</f>
        <v>664.46022727272725</v>
      </c>
      <c r="AM13" s="442">
        <f>NWC!AM25</f>
        <v>686.344696969697</v>
      </c>
      <c r="AN13" s="442">
        <f>NWC!AN25</f>
        <v>708.22916666666663</v>
      </c>
    </row>
    <row r="14" spans="1:40" s="11" customFormat="1" ht="15">
      <c r="A14" s="65"/>
      <c r="B14" s="109" t="s">
        <v>9</v>
      </c>
      <c r="C14" s="484">
        <f t="shared" ref="C14:I14" si="3">SUM(C10:C13)</f>
        <v>925</v>
      </c>
      <c r="D14" s="484">
        <f t="shared" si="3"/>
        <v>2260</v>
      </c>
      <c r="E14" s="443">
        <f t="shared" si="3"/>
        <v>835261.81136410066</v>
      </c>
      <c r="F14" s="443">
        <f t="shared" si="3"/>
        <v>671851.07560218452</v>
      </c>
      <c r="G14" s="443">
        <f t="shared" si="3"/>
        <v>510435.33684060257</v>
      </c>
      <c r="H14" s="443">
        <f t="shared" si="3"/>
        <v>-114263.1826984228</v>
      </c>
      <c r="I14" s="443">
        <f t="shared" si="3"/>
        <v>-236966.70523711399</v>
      </c>
      <c r="J14" s="443">
        <f t="shared" ref="J14:P14" si="4">SUM(J10:J13)</f>
        <v>-357676.98105433956</v>
      </c>
      <c r="K14" s="443">
        <f t="shared" si="4"/>
        <v>-476393.98384906072</v>
      </c>
      <c r="L14" s="443">
        <f t="shared" si="4"/>
        <v>-593117.71362127736</v>
      </c>
      <c r="M14" s="443">
        <f t="shared" si="4"/>
        <v>-707898.1703709896</v>
      </c>
      <c r="N14" s="443">
        <f t="shared" si="4"/>
        <v>-820635.35409819742</v>
      </c>
      <c r="O14" s="443">
        <f t="shared" si="4"/>
        <v>-931379.26480290073</v>
      </c>
      <c r="P14" s="443">
        <f t="shared" si="4"/>
        <v>-1040129.9024850995</v>
      </c>
      <c r="Q14" s="443">
        <f t="shared" ref="Q14:AJ14" si="5">SUM(Q10:Q13)</f>
        <v>-707403.91571418266</v>
      </c>
      <c r="R14" s="443">
        <f t="shared" si="5"/>
        <v>-938440.66504509305</v>
      </c>
      <c r="S14" s="443">
        <f t="shared" si="5"/>
        <v>-1148051.3848806822</v>
      </c>
      <c r="T14" s="443">
        <f t="shared" si="5"/>
        <v>-1353736.0752209506</v>
      </c>
      <c r="U14" s="443">
        <f t="shared" si="5"/>
        <v>-1555809.7862622554</v>
      </c>
      <c r="V14" s="443">
        <f t="shared" si="5"/>
        <v>-1754540.1153851105</v>
      </c>
      <c r="W14" s="443">
        <f t="shared" si="5"/>
        <v>-1949925.5728669232</v>
      </c>
      <c r="X14" s="443">
        <f t="shared" si="5"/>
        <v>-2141966.1587076937</v>
      </c>
      <c r="Y14" s="443">
        <f t="shared" si="5"/>
        <v>-2330663.6231862893</v>
      </c>
      <c r="Z14" s="443">
        <f t="shared" si="5"/>
        <v>-2516017.9400016726</v>
      </c>
      <c r="AA14" s="443">
        <f t="shared" si="5"/>
        <v>-2698029.1091538416</v>
      </c>
      <c r="AB14" s="443">
        <f t="shared" si="5"/>
        <v>-2876697.1306427987</v>
      </c>
      <c r="AC14" s="443">
        <f t="shared" si="5"/>
        <v>-2129663.0164421964</v>
      </c>
      <c r="AD14" s="443">
        <f t="shared" si="5"/>
        <v>-2298049.9773380319</v>
      </c>
      <c r="AE14" s="443">
        <f t="shared" si="5"/>
        <v>-2461790.8820061488</v>
      </c>
      <c r="AF14" s="443">
        <f t="shared" si="5"/>
        <v>-2620885.7304465482</v>
      </c>
      <c r="AG14" s="443">
        <f t="shared" si="5"/>
        <v>-2775334.5226592286</v>
      </c>
      <c r="AH14" s="443">
        <f t="shared" si="5"/>
        <v>-2925137.2586441906</v>
      </c>
      <c r="AI14" s="443">
        <f t="shared" si="5"/>
        <v>-3070295.6886803028</v>
      </c>
      <c r="AJ14" s="443">
        <f t="shared" si="5"/>
        <v>-3210809.7864665263</v>
      </c>
      <c r="AK14" s="443">
        <f t="shared" ref="AK14:AN14" si="6">SUM(AK10:AK13)</f>
        <v>-3346679.5520028616</v>
      </c>
      <c r="AL14" s="443">
        <f t="shared" si="6"/>
        <v>-3477904.9852893082</v>
      </c>
      <c r="AM14" s="443">
        <f t="shared" si="6"/>
        <v>-3604486.0863258666</v>
      </c>
      <c r="AN14" s="443">
        <f t="shared" si="6"/>
        <v>-3726422.8551125359</v>
      </c>
    </row>
    <row r="15" spans="1:40" s="11" customFormat="1" ht="15">
      <c r="A15" s="65"/>
      <c r="B15" s="62"/>
      <c r="C15" s="62"/>
      <c r="D15" s="62"/>
      <c r="E15" s="62"/>
      <c r="F15" s="62"/>
      <c r="G15" s="104"/>
      <c r="H15" s="62"/>
      <c r="I15" s="62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</row>
    <row r="16" spans="1:40" s="11" customFormat="1" ht="15">
      <c r="A16" s="65"/>
      <c r="B16" s="105" t="s">
        <v>14</v>
      </c>
      <c r="C16" s="481">
        <f>'Historicals &amp; Projections'!C14</f>
        <v>100</v>
      </c>
      <c r="D16" s="481">
        <f>'Historicals &amp; Projections'!D14</f>
        <v>200</v>
      </c>
      <c r="E16" s="442">
        <f>+IA!F74</f>
        <v>757.16666666666663</v>
      </c>
      <c r="F16" s="442">
        <f>+IA!G74</f>
        <v>744.33333333333337</v>
      </c>
      <c r="G16" s="442">
        <f>+IA!H74</f>
        <v>731.5</v>
      </c>
      <c r="H16" s="442">
        <f>+IA!I74</f>
        <v>718.66666666666663</v>
      </c>
      <c r="I16" s="442">
        <f>+IA!J74</f>
        <v>705.83333333333337</v>
      </c>
      <c r="J16" s="442">
        <f>+IA!K74</f>
        <v>693</v>
      </c>
      <c r="K16" s="442">
        <f>+IA!L74</f>
        <v>680.16666666666663</v>
      </c>
      <c r="L16" s="442">
        <f>+IA!M74</f>
        <v>667.33333333333337</v>
      </c>
      <c r="M16" s="442">
        <f>+IA!N74</f>
        <v>654.5</v>
      </c>
      <c r="N16" s="442">
        <f>+IA!O74</f>
        <v>641.66666666666674</v>
      </c>
      <c r="O16" s="442">
        <f>+IA!P74</f>
        <v>628.83333333333337</v>
      </c>
      <c r="P16" s="442">
        <f>+IA!Q74</f>
        <v>616</v>
      </c>
      <c r="Q16" s="442">
        <f>+IA!R74</f>
        <v>603.16666666666663</v>
      </c>
      <c r="R16" s="442">
        <f>+IA!S74</f>
        <v>590.33333333333326</v>
      </c>
      <c r="S16" s="442">
        <f>+IA!T74</f>
        <v>577.5</v>
      </c>
      <c r="T16" s="442">
        <f>+IA!U74</f>
        <v>564.66666666666663</v>
      </c>
      <c r="U16" s="442">
        <f>+IA!V74</f>
        <v>551.83333333333326</v>
      </c>
      <c r="V16" s="442">
        <f>+IA!W74</f>
        <v>539</v>
      </c>
      <c r="W16" s="442">
        <f>+IA!X74</f>
        <v>526.16666666666663</v>
      </c>
      <c r="X16" s="442">
        <f>+IA!Y74</f>
        <v>513.33333333333326</v>
      </c>
      <c r="Y16" s="442">
        <f>+IA!Z74</f>
        <v>500.50000000000006</v>
      </c>
      <c r="Z16" s="442">
        <f>+IA!AA74</f>
        <v>487.66666666666674</v>
      </c>
      <c r="AA16" s="442">
        <f>+IA!AB74</f>
        <v>474.83333333333337</v>
      </c>
      <c r="AB16" s="442">
        <f>+IA!AC74</f>
        <v>462</v>
      </c>
      <c r="AC16" s="442">
        <f>+IA!AD74</f>
        <v>449.16666666666669</v>
      </c>
      <c r="AD16" s="442">
        <f>+IA!AE74</f>
        <v>436.33333333333337</v>
      </c>
      <c r="AE16" s="442">
        <f>+IA!AF74</f>
        <v>423.5</v>
      </c>
      <c r="AF16" s="442">
        <f>+IA!AG74</f>
        <v>410.66666666666669</v>
      </c>
      <c r="AG16" s="442">
        <f>+IA!AH74</f>
        <v>397.83333333333337</v>
      </c>
      <c r="AH16" s="442">
        <f>+IA!AI74</f>
        <v>385</v>
      </c>
      <c r="AI16" s="442">
        <f>+IA!AJ74</f>
        <v>372.16666666666669</v>
      </c>
      <c r="AJ16" s="442">
        <f>+IA!AK74</f>
        <v>359.33333333333337</v>
      </c>
      <c r="AK16" s="442">
        <f>+IA!AL74</f>
        <v>346.50000000000006</v>
      </c>
      <c r="AL16" s="442">
        <f>+IA!AM74</f>
        <v>333.66666666666663</v>
      </c>
      <c r="AM16" s="442">
        <f>+IA!AN74</f>
        <v>320.83333333333331</v>
      </c>
      <c r="AN16" s="442">
        <f>+IA!AO74</f>
        <v>308</v>
      </c>
    </row>
    <row r="17" spans="1:40" s="11" customFormat="1" ht="15">
      <c r="A17" s="65"/>
      <c r="B17" s="105" t="s">
        <v>15</v>
      </c>
      <c r="C17" s="481">
        <f>'Historicals &amp; Projections'!C15</f>
        <v>300</v>
      </c>
      <c r="D17" s="481">
        <f>'Historicals &amp; Projections'!D15</f>
        <v>400</v>
      </c>
      <c r="E17" s="442">
        <f>+'TA '!F74</f>
        <v>953.83333333333326</v>
      </c>
      <c r="F17" s="442">
        <f>+'TA '!G74</f>
        <v>937.66666666666674</v>
      </c>
      <c r="G17" s="442">
        <f>+'TA '!H74</f>
        <v>921.5</v>
      </c>
      <c r="H17" s="442">
        <f>+'TA '!I74</f>
        <v>905.33333333333326</v>
      </c>
      <c r="I17" s="442">
        <f>+'TA '!J74</f>
        <v>889.16666666666674</v>
      </c>
      <c r="J17" s="442">
        <f>+'TA '!K74</f>
        <v>873</v>
      </c>
      <c r="K17" s="442">
        <f>+'TA '!L74</f>
        <v>856.83333333333326</v>
      </c>
      <c r="L17" s="442">
        <f>+'TA '!M74</f>
        <v>840.66666666666674</v>
      </c>
      <c r="M17" s="442">
        <f>+'TA '!N74</f>
        <v>824.5</v>
      </c>
      <c r="N17" s="442">
        <f>+'TA '!O74</f>
        <v>808.33333333333337</v>
      </c>
      <c r="O17" s="442">
        <f>+'TA '!P74</f>
        <v>792.16666666666674</v>
      </c>
      <c r="P17" s="442">
        <f>+'TA '!Q74</f>
        <v>776</v>
      </c>
      <c r="Q17" s="442">
        <f>+'TA '!R74</f>
        <v>759.83333333333326</v>
      </c>
      <c r="R17" s="442">
        <f>+'TA '!S74</f>
        <v>17952</v>
      </c>
      <c r="S17" s="442">
        <f>+'TA '!T74</f>
        <v>17644.166666666668</v>
      </c>
      <c r="T17" s="442">
        <f>+'TA '!U74</f>
        <v>17336.333333333332</v>
      </c>
      <c r="U17" s="442">
        <f>+'TA '!V74</f>
        <v>17028.5</v>
      </c>
      <c r="V17" s="442">
        <f>+'TA '!W74</f>
        <v>16720.666666666668</v>
      </c>
      <c r="W17" s="442">
        <f>+'TA '!X74</f>
        <v>16412.833333333332</v>
      </c>
      <c r="X17" s="442">
        <f>+'TA '!Y74</f>
        <v>16105</v>
      </c>
      <c r="Y17" s="442">
        <f>+'TA '!Z74</f>
        <v>15797.166666666666</v>
      </c>
      <c r="Z17" s="442">
        <f>+'TA '!AA74</f>
        <v>15489.333333333334</v>
      </c>
      <c r="AA17" s="442">
        <f>+'TA '!AB74</f>
        <v>15181.5</v>
      </c>
      <c r="AB17" s="442">
        <f>+'TA '!AC74</f>
        <v>14873.666666666666</v>
      </c>
      <c r="AC17" s="442">
        <f>+'TA '!AD74</f>
        <v>93232.499999999985</v>
      </c>
      <c r="AD17" s="442">
        <f>+'TA '!AE74</f>
        <v>91591.333333333328</v>
      </c>
      <c r="AE17" s="442">
        <f>+'TA '!AF74</f>
        <v>89950.166666666672</v>
      </c>
      <c r="AF17" s="442">
        <f>+'TA '!AG74</f>
        <v>88308.999999999985</v>
      </c>
      <c r="AG17" s="442">
        <f>+'TA '!AH74</f>
        <v>86667.833333333328</v>
      </c>
      <c r="AH17" s="442">
        <f>+'TA '!AI74</f>
        <v>85026.666666666672</v>
      </c>
      <c r="AI17" s="442">
        <f>+'TA '!AJ74</f>
        <v>83385.499999999985</v>
      </c>
      <c r="AJ17" s="442">
        <f>+'TA '!AK74</f>
        <v>81744.333333333343</v>
      </c>
      <c r="AK17" s="442">
        <f>+'TA '!AL74</f>
        <v>80103.166666666672</v>
      </c>
      <c r="AL17" s="442">
        <f>+'TA '!AM74</f>
        <v>78461.999999999985</v>
      </c>
      <c r="AM17" s="442">
        <f>+'TA '!AN74</f>
        <v>76820.833333333328</v>
      </c>
      <c r="AN17" s="442">
        <f>+'TA '!AO74</f>
        <v>75179.666666666672</v>
      </c>
    </row>
    <row r="18" spans="1:40" s="11" customFormat="1" ht="15">
      <c r="A18" s="65"/>
      <c r="B18" s="105" t="s">
        <v>307</v>
      </c>
      <c r="C18" s="481">
        <f>'Historicals &amp; Projections'!C16</f>
        <v>100</v>
      </c>
      <c r="D18" s="481">
        <f>'Historicals &amp; Projections'!D16</f>
        <v>150</v>
      </c>
      <c r="E18" s="442">
        <f>+D18+'TA '!F22</f>
        <v>150</v>
      </c>
      <c r="F18" s="442">
        <f>+E18+'TA '!G22</f>
        <v>150</v>
      </c>
      <c r="G18" s="442">
        <f>+F18+'TA '!H22</f>
        <v>150</v>
      </c>
      <c r="H18" s="442">
        <f>+G18+'TA '!I22</f>
        <v>150</v>
      </c>
      <c r="I18" s="442">
        <f>+H18+'TA '!J22</f>
        <v>150</v>
      </c>
      <c r="J18" s="442">
        <f>+I18+'TA '!K22</f>
        <v>150</v>
      </c>
      <c r="K18" s="442">
        <f>+J18+'TA '!L22</f>
        <v>150</v>
      </c>
      <c r="L18" s="442">
        <f>+K18+'TA '!M22</f>
        <v>150</v>
      </c>
      <c r="M18" s="442">
        <f>+L18+'TA '!N22</f>
        <v>150</v>
      </c>
      <c r="N18" s="442">
        <f>+M18+'TA '!O22</f>
        <v>150</v>
      </c>
      <c r="O18" s="442">
        <f>+N18+'TA '!P22</f>
        <v>150</v>
      </c>
      <c r="P18" s="442">
        <f>+O18+'TA '!Q22</f>
        <v>150</v>
      </c>
      <c r="Q18" s="442">
        <f>+P18+'TA '!R22</f>
        <v>150</v>
      </c>
      <c r="R18" s="442">
        <f>+Q18+'TA '!S22</f>
        <v>150</v>
      </c>
      <c r="S18" s="442">
        <f>+R18+'TA '!T22</f>
        <v>150</v>
      </c>
      <c r="T18" s="442">
        <f>+S18+'TA '!U22</f>
        <v>150</v>
      </c>
      <c r="U18" s="442">
        <f>+T18+'TA '!V22</f>
        <v>150</v>
      </c>
      <c r="V18" s="442">
        <f>+U18+'TA '!W22</f>
        <v>150</v>
      </c>
      <c r="W18" s="442">
        <f>+V18+'TA '!X22</f>
        <v>150</v>
      </c>
      <c r="X18" s="442">
        <f>+W18+'TA '!Y22</f>
        <v>150</v>
      </c>
      <c r="Y18" s="442">
        <f>+X18+'TA '!Z22</f>
        <v>150</v>
      </c>
      <c r="Z18" s="442">
        <f>+Y18+'TA '!AA22</f>
        <v>150</v>
      </c>
      <c r="AA18" s="442">
        <f>+Z18+'TA '!AB22</f>
        <v>150</v>
      </c>
      <c r="AB18" s="442">
        <f>+AA18+'TA '!AC22</f>
        <v>150</v>
      </c>
      <c r="AC18" s="442">
        <f>+AB18+'TA '!AD22</f>
        <v>150</v>
      </c>
      <c r="AD18" s="442">
        <f>+AC18+'TA '!AE22</f>
        <v>150</v>
      </c>
      <c r="AE18" s="442">
        <f>+AD18+'TA '!AF22</f>
        <v>150</v>
      </c>
      <c r="AF18" s="442">
        <f>+AE18+'TA '!AG22</f>
        <v>150</v>
      </c>
      <c r="AG18" s="442">
        <f>+AF18+'TA '!AH22</f>
        <v>150</v>
      </c>
      <c r="AH18" s="442">
        <f>+AG18+'TA '!AI22</f>
        <v>150</v>
      </c>
      <c r="AI18" s="442">
        <f>+AH18+'TA '!AJ22</f>
        <v>150</v>
      </c>
      <c r="AJ18" s="442">
        <f>+AI18+'TA '!AK22</f>
        <v>150</v>
      </c>
      <c r="AK18" s="442">
        <f>+AJ18+'TA '!AL22</f>
        <v>150</v>
      </c>
      <c r="AL18" s="442">
        <f>+AK18+'TA '!AM22</f>
        <v>150</v>
      </c>
      <c r="AM18" s="442">
        <f>+AL18+'TA '!AN22</f>
        <v>150</v>
      </c>
      <c r="AN18" s="442">
        <f>+AM18+'TA '!AO22</f>
        <v>150</v>
      </c>
    </row>
    <row r="19" spans="1:40" s="11" customFormat="1" ht="15">
      <c r="A19" s="65"/>
      <c r="B19" s="109" t="s">
        <v>8</v>
      </c>
      <c r="C19" s="484">
        <f t="shared" ref="C19:P19" si="7">SUM(C16:C18)</f>
        <v>500</v>
      </c>
      <c r="D19" s="484">
        <f t="shared" si="7"/>
        <v>750</v>
      </c>
      <c r="E19" s="443">
        <f t="shared" si="7"/>
        <v>1861</v>
      </c>
      <c r="F19" s="443">
        <f>SUM(F16:F18)</f>
        <v>1832</v>
      </c>
      <c r="G19" s="443">
        <f t="shared" si="7"/>
        <v>1803</v>
      </c>
      <c r="H19" s="443">
        <f t="shared" si="7"/>
        <v>1774</v>
      </c>
      <c r="I19" s="443">
        <f t="shared" si="7"/>
        <v>1745</v>
      </c>
      <c r="J19" s="443">
        <f t="shared" si="7"/>
        <v>1716</v>
      </c>
      <c r="K19" s="443">
        <f t="shared" si="7"/>
        <v>1687</v>
      </c>
      <c r="L19" s="443">
        <f t="shared" si="7"/>
        <v>1658</v>
      </c>
      <c r="M19" s="443">
        <f t="shared" si="7"/>
        <v>1629</v>
      </c>
      <c r="N19" s="443">
        <f t="shared" si="7"/>
        <v>1600</v>
      </c>
      <c r="O19" s="443">
        <f t="shared" si="7"/>
        <v>1571</v>
      </c>
      <c r="P19" s="443">
        <f t="shared" si="7"/>
        <v>1542</v>
      </c>
      <c r="Q19" s="443">
        <f t="shared" ref="Q19:AJ19" si="8">SUM(Q16:Q18)</f>
        <v>1513</v>
      </c>
      <c r="R19" s="443">
        <f t="shared" si="8"/>
        <v>18692.333333333332</v>
      </c>
      <c r="S19" s="443">
        <f t="shared" si="8"/>
        <v>18371.666666666668</v>
      </c>
      <c r="T19" s="443">
        <f t="shared" si="8"/>
        <v>18051</v>
      </c>
      <c r="U19" s="443">
        <f t="shared" si="8"/>
        <v>17730.333333333332</v>
      </c>
      <c r="V19" s="443">
        <f t="shared" si="8"/>
        <v>17409.666666666668</v>
      </c>
      <c r="W19" s="443">
        <f t="shared" si="8"/>
        <v>17089</v>
      </c>
      <c r="X19" s="443">
        <f t="shared" si="8"/>
        <v>16768.333333333332</v>
      </c>
      <c r="Y19" s="443">
        <f t="shared" si="8"/>
        <v>16447.666666666664</v>
      </c>
      <c r="Z19" s="443">
        <f t="shared" si="8"/>
        <v>16127</v>
      </c>
      <c r="AA19" s="443">
        <f t="shared" si="8"/>
        <v>15806.333333333334</v>
      </c>
      <c r="AB19" s="443">
        <f t="shared" si="8"/>
        <v>15485.666666666666</v>
      </c>
      <c r="AC19" s="443">
        <f t="shared" si="8"/>
        <v>93831.666666666657</v>
      </c>
      <c r="AD19" s="443">
        <f t="shared" si="8"/>
        <v>92177.666666666657</v>
      </c>
      <c r="AE19" s="443">
        <f t="shared" si="8"/>
        <v>90523.666666666672</v>
      </c>
      <c r="AF19" s="443">
        <f t="shared" si="8"/>
        <v>88869.666666666657</v>
      </c>
      <c r="AG19" s="443">
        <f t="shared" si="8"/>
        <v>87215.666666666657</v>
      </c>
      <c r="AH19" s="443">
        <f t="shared" si="8"/>
        <v>85561.666666666672</v>
      </c>
      <c r="AI19" s="443">
        <f t="shared" si="8"/>
        <v>83907.666666666657</v>
      </c>
      <c r="AJ19" s="443">
        <f t="shared" si="8"/>
        <v>82253.666666666672</v>
      </c>
      <c r="AK19" s="443">
        <f t="shared" ref="AK19:AN19" si="9">SUM(AK16:AK18)</f>
        <v>80599.666666666672</v>
      </c>
      <c r="AL19" s="443">
        <f t="shared" si="9"/>
        <v>78945.666666666657</v>
      </c>
      <c r="AM19" s="443">
        <f t="shared" si="9"/>
        <v>77291.666666666657</v>
      </c>
      <c r="AN19" s="443">
        <f t="shared" si="9"/>
        <v>75637.666666666672</v>
      </c>
    </row>
    <row r="20" spans="1:40" s="11" customFormat="1" ht="15">
      <c r="A20" s="65"/>
      <c r="B20" s="62"/>
      <c r="C20" s="75"/>
      <c r="D20" s="75"/>
      <c r="E20" s="118"/>
      <c r="F20" s="118"/>
      <c r="G20" s="118"/>
      <c r="H20" s="118"/>
      <c r="I20" s="118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</row>
    <row r="21" spans="1:40" s="11" customFormat="1" ht="15">
      <c r="A21" s="65"/>
      <c r="B21" s="122" t="s">
        <v>10</v>
      </c>
      <c r="C21" s="493">
        <f t="shared" ref="C21:I21" si="10">+C19+C14</f>
        <v>1425</v>
      </c>
      <c r="D21" s="493">
        <f t="shared" si="10"/>
        <v>3010</v>
      </c>
      <c r="E21" s="494">
        <f>+E19+E14</f>
        <v>837122.81136410066</v>
      </c>
      <c r="F21" s="494">
        <f t="shared" si="10"/>
        <v>673683.07560218452</v>
      </c>
      <c r="G21" s="494">
        <f t="shared" si="10"/>
        <v>512238.33684060257</v>
      </c>
      <c r="H21" s="494">
        <f t="shared" si="10"/>
        <v>-112489.1826984228</v>
      </c>
      <c r="I21" s="494">
        <f t="shared" si="10"/>
        <v>-235221.70523711399</v>
      </c>
      <c r="J21" s="494">
        <f t="shared" ref="J21:P21" si="11">+J19+J14</f>
        <v>-355960.98105433956</v>
      </c>
      <c r="K21" s="494">
        <f>+K19+K14</f>
        <v>-474706.98384906072</v>
      </c>
      <c r="L21" s="494">
        <f t="shared" si="11"/>
        <v>-591459.71362127736</v>
      </c>
      <c r="M21" s="494">
        <f t="shared" si="11"/>
        <v>-706269.1703709896</v>
      </c>
      <c r="N21" s="494">
        <f t="shared" si="11"/>
        <v>-819035.35409819742</v>
      </c>
      <c r="O21" s="494">
        <f t="shared" si="11"/>
        <v>-929808.26480290073</v>
      </c>
      <c r="P21" s="494">
        <f t="shared" si="11"/>
        <v>-1038587.9024850995</v>
      </c>
      <c r="Q21" s="494">
        <f t="shared" ref="Q21:AJ21" si="12">+Q19+Q14</f>
        <v>-705890.91571418266</v>
      </c>
      <c r="R21" s="494">
        <f t="shared" si="12"/>
        <v>-919748.33171175967</v>
      </c>
      <c r="S21" s="494">
        <f t="shared" si="12"/>
        <v>-1129679.7182140155</v>
      </c>
      <c r="T21" s="494">
        <f t="shared" si="12"/>
        <v>-1335685.0752209506</v>
      </c>
      <c r="U21" s="494">
        <f t="shared" si="12"/>
        <v>-1538079.4529289221</v>
      </c>
      <c r="V21" s="494">
        <f t="shared" si="12"/>
        <v>-1737130.4487184437</v>
      </c>
      <c r="W21" s="494">
        <f t="shared" si="12"/>
        <v>-1932836.5728669232</v>
      </c>
      <c r="X21" s="494">
        <f t="shared" si="12"/>
        <v>-2125197.8253743602</v>
      </c>
      <c r="Y21" s="494">
        <f t="shared" si="12"/>
        <v>-2314215.9565196228</v>
      </c>
      <c r="Z21" s="494">
        <f t="shared" si="12"/>
        <v>-2499890.9400016726</v>
      </c>
      <c r="AA21" s="494">
        <f t="shared" si="12"/>
        <v>-2682222.7758205081</v>
      </c>
      <c r="AB21" s="494">
        <f t="shared" si="12"/>
        <v>-2861211.4639761322</v>
      </c>
      <c r="AC21" s="494">
        <f t="shared" si="12"/>
        <v>-2035831.3497755297</v>
      </c>
      <c r="AD21" s="494">
        <f t="shared" si="12"/>
        <v>-2205872.3106713654</v>
      </c>
      <c r="AE21" s="494">
        <f t="shared" si="12"/>
        <v>-2371267.2153394823</v>
      </c>
      <c r="AF21" s="494">
        <f t="shared" si="12"/>
        <v>-2532016.0637798817</v>
      </c>
      <c r="AG21" s="494">
        <f t="shared" si="12"/>
        <v>-2688118.8559925621</v>
      </c>
      <c r="AH21" s="494">
        <f t="shared" si="12"/>
        <v>-2839575.5919775241</v>
      </c>
      <c r="AI21" s="494">
        <f t="shared" si="12"/>
        <v>-2986388.0220136363</v>
      </c>
      <c r="AJ21" s="494">
        <f t="shared" si="12"/>
        <v>-3128556.1197998598</v>
      </c>
      <c r="AK21" s="494">
        <f t="shared" ref="AK21:AN21" si="13">+AK19+AK14</f>
        <v>-3266079.8853361951</v>
      </c>
      <c r="AL21" s="494">
        <f t="shared" si="13"/>
        <v>-3398959.3186226417</v>
      </c>
      <c r="AM21" s="494">
        <f t="shared" si="13"/>
        <v>-3527194.4196592001</v>
      </c>
      <c r="AN21" s="494">
        <f t="shared" si="13"/>
        <v>-3650785.1884458694</v>
      </c>
    </row>
    <row r="22" spans="1:40" ht="15">
      <c r="A22" s="59"/>
      <c r="B22" s="62"/>
      <c r="C22" s="75"/>
      <c r="D22" s="75"/>
      <c r="E22" s="118"/>
      <c r="F22" s="118"/>
      <c r="G22" s="118"/>
      <c r="H22" s="118"/>
      <c r="I22" s="11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</row>
    <row r="23" spans="1:40" ht="15">
      <c r="A23" s="59"/>
      <c r="B23" s="105" t="s">
        <v>505</v>
      </c>
      <c r="C23" s="481">
        <f>'Historicals &amp; Projections'!C21</f>
        <v>100</v>
      </c>
      <c r="D23" s="481">
        <f>'Historicals &amp; Projections'!D21</f>
        <v>350</v>
      </c>
      <c r="E23" s="442">
        <f>+NWC!E24</f>
        <v>45.233226102941181</v>
      </c>
      <c r="F23" s="442">
        <f>+NWC!F24</f>
        <v>61.037856158088239</v>
      </c>
      <c r="G23" s="442">
        <f>+NWC!G24</f>
        <v>76.842486213235304</v>
      </c>
      <c r="H23" s="442">
        <f>+NWC!H24</f>
        <v>92.647116268382376</v>
      </c>
      <c r="I23" s="442">
        <f>+NWC!I24</f>
        <v>108.45174632352945</v>
      </c>
      <c r="J23" s="442">
        <f>+NWC!J24</f>
        <v>124.23954503676471</v>
      </c>
      <c r="K23" s="442">
        <f>+NWC!K24</f>
        <v>140.02734375000003</v>
      </c>
      <c r="L23" s="442">
        <f>+NWC!L24</f>
        <v>155.81514246323533</v>
      </c>
      <c r="M23" s="442">
        <f>+NWC!M24</f>
        <v>171.60294117647061</v>
      </c>
      <c r="N23" s="442">
        <f>+NWC!N24</f>
        <v>187.39073988970591</v>
      </c>
      <c r="O23" s="442">
        <f>+NWC!O24</f>
        <v>203.17853860294119</v>
      </c>
      <c r="P23" s="442">
        <f>+NWC!P24</f>
        <v>218.96633731617655</v>
      </c>
      <c r="Q23" s="442">
        <f>+NWC!Q24</f>
        <v>367.52274816176475</v>
      </c>
      <c r="R23" s="442">
        <f>+NWC!R24</f>
        <v>400.34386488970591</v>
      </c>
      <c r="S23" s="442">
        <f>+NWC!S24</f>
        <v>433.16498161764713</v>
      </c>
      <c r="T23" s="442">
        <f>+NWC!T24</f>
        <v>465.98609834558829</v>
      </c>
      <c r="U23" s="442">
        <f>+NWC!U24</f>
        <v>495.77757352941182</v>
      </c>
      <c r="V23" s="442">
        <f>+NWC!V24</f>
        <v>524.76114430147061</v>
      </c>
      <c r="W23" s="442">
        <f>+NWC!W24</f>
        <v>553.74471507352951</v>
      </c>
      <c r="X23" s="442">
        <f>+NWC!X24</f>
        <v>582.72828584558829</v>
      </c>
      <c r="Y23" s="442">
        <f>+NWC!Y24</f>
        <v>611.69502527573547</v>
      </c>
      <c r="Z23" s="442">
        <f>+NWC!Z24</f>
        <v>640.66176470588243</v>
      </c>
      <c r="AA23" s="442">
        <f>+NWC!AA24</f>
        <v>669.62850413602951</v>
      </c>
      <c r="AB23" s="442">
        <f>+NWC!AB24</f>
        <v>698.59524356617646</v>
      </c>
      <c r="AC23" s="442">
        <f>+NWC!AC24</f>
        <v>771.82852711397072</v>
      </c>
      <c r="AD23" s="442">
        <f>+NWC!AD24</f>
        <v>808.92480468750011</v>
      </c>
      <c r="AE23" s="442">
        <f>+NWC!AE24</f>
        <v>846.02108226102939</v>
      </c>
      <c r="AF23" s="442">
        <f>+NWC!AF24</f>
        <v>883.11735983455912</v>
      </c>
      <c r="AG23" s="442">
        <f>+NWC!AG24</f>
        <v>920.21363740808829</v>
      </c>
      <c r="AH23" s="442">
        <f>+NWC!AH24</f>
        <v>957.30991498161768</v>
      </c>
      <c r="AI23" s="442">
        <f>+NWC!AI24</f>
        <v>994.38936121323536</v>
      </c>
      <c r="AJ23" s="442">
        <f>+NWC!AJ24</f>
        <v>1031.4688074448532</v>
      </c>
      <c r="AK23" s="442">
        <f>+NWC!AK24</f>
        <v>1068.5482536764707</v>
      </c>
      <c r="AL23" s="442">
        <f>+NWC!AL24</f>
        <v>1105.6276999080883</v>
      </c>
      <c r="AM23" s="442">
        <f>+NWC!AM24</f>
        <v>1142.7071461397063</v>
      </c>
      <c r="AN23" s="442">
        <f>+NWC!AN24</f>
        <v>1179.7865923713236</v>
      </c>
    </row>
    <row r="24" spans="1:40" ht="15">
      <c r="A24" s="59"/>
      <c r="B24" s="105" t="s">
        <v>18</v>
      </c>
      <c r="C24" s="481">
        <f>'Historicals &amp; Projections'!C22</f>
        <v>200</v>
      </c>
      <c r="D24" s="481">
        <f>'Historicals &amp; Projections'!D22</f>
        <v>200</v>
      </c>
      <c r="E24" s="442">
        <f>+FIN!D33</f>
        <v>200</v>
      </c>
      <c r="F24" s="442">
        <f>+FIN!E33</f>
        <v>200</v>
      </c>
      <c r="G24" s="442">
        <f>+FIN!F33</f>
        <v>200</v>
      </c>
      <c r="H24" s="442">
        <f>+FIN!G33</f>
        <v>200</v>
      </c>
      <c r="I24" s="442">
        <f>+FIN!H33</f>
        <v>200</v>
      </c>
      <c r="J24" s="442">
        <f>+FIN!I33</f>
        <v>200</v>
      </c>
      <c r="K24" s="442">
        <f>+FIN!J33</f>
        <v>200</v>
      </c>
      <c r="L24" s="442">
        <f>+FIN!K33</f>
        <v>200</v>
      </c>
      <c r="M24" s="442">
        <f>+FIN!L33</f>
        <v>200</v>
      </c>
      <c r="N24" s="442">
        <f>+FIN!M33</f>
        <v>200</v>
      </c>
      <c r="O24" s="442">
        <f>+FIN!N33</f>
        <v>200</v>
      </c>
      <c r="P24" s="442">
        <f>+FIN!O33</f>
        <v>200</v>
      </c>
      <c r="Q24" s="442">
        <f>+FIN!P33</f>
        <v>200</v>
      </c>
      <c r="R24" s="442">
        <f>+FIN!Q33</f>
        <v>200</v>
      </c>
      <c r="S24" s="442">
        <f>+FIN!R33</f>
        <v>200</v>
      </c>
      <c r="T24" s="442">
        <f>+FIN!S33</f>
        <v>200</v>
      </c>
      <c r="U24" s="442">
        <f>+FIN!T33</f>
        <v>200</v>
      </c>
      <c r="V24" s="442">
        <f>+FIN!U33</f>
        <v>200</v>
      </c>
      <c r="W24" s="442">
        <f>+FIN!V33</f>
        <v>200</v>
      </c>
      <c r="X24" s="442">
        <f>+FIN!W33</f>
        <v>200</v>
      </c>
      <c r="Y24" s="442">
        <f>+FIN!X33</f>
        <v>200</v>
      </c>
      <c r="Z24" s="442">
        <f>+FIN!Y33</f>
        <v>200</v>
      </c>
      <c r="AA24" s="442">
        <f>+FIN!Z33</f>
        <v>200</v>
      </c>
      <c r="AB24" s="442">
        <f>+FIN!AA33</f>
        <v>200</v>
      </c>
      <c r="AC24" s="442">
        <f>+FIN!AB33</f>
        <v>200</v>
      </c>
      <c r="AD24" s="442">
        <f>+FIN!AC33</f>
        <v>200</v>
      </c>
      <c r="AE24" s="442">
        <f>+FIN!AD33</f>
        <v>200</v>
      </c>
      <c r="AF24" s="442">
        <f>+FIN!AE33</f>
        <v>200</v>
      </c>
      <c r="AG24" s="442">
        <f>+FIN!AF33</f>
        <v>200</v>
      </c>
      <c r="AH24" s="442">
        <f>+FIN!AG33</f>
        <v>200</v>
      </c>
      <c r="AI24" s="442">
        <f>+FIN!AH33</f>
        <v>200</v>
      </c>
      <c r="AJ24" s="442">
        <f>+FIN!AI33</f>
        <v>200</v>
      </c>
      <c r="AK24" s="442">
        <f>+FIN!AJ33</f>
        <v>200</v>
      </c>
      <c r="AL24" s="442">
        <f>+FIN!AK33</f>
        <v>200</v>
      </c>
      <c r="AM24" s="442">
        <f>+FIN!AL33</f>
        <v>200</v>
      </c>
      <c r="AN24" s="442">
        <f>+FIN!AM33</f>
        <v>200</v>
      </c>
    </row>
    <row r="25" spans="1:40" ht="15">
      <c r="A25" s="59"/>
      <c r="B25" s="105" t="s">
        <v>19</v>
      </c>
      <c r="C25" s="481">
        <f>'Historicals &amp; Projections'!C23</f>
        <v>125</v>
      </c>
      <c r="D25" s="481">
        <f>'Historicals &amp; Projections'!D23</f>
        <v>150</v>
      </c>
      <c r="E25" s="442">
        <f>+NWC!E26</f>
        <v>27.462121212121211</v>
      </c>
      <c r="F25" s="442">
        <f>+NWC!F26</f>
        <v>36.808712121212118</v>
      </c>
      <c r="G25" s="442">
        <f>+NWC!G26</f>
        <v>46.155303030303024</v>
      </c>
      <c r="H25" s="442">
        <f>+NWC!H26</f>
        <v>55.501893939393931</v>
      </c>
      <c r="I25" s="442">
        <f>+NWC!I26</f>
        <v>64.848484848484844</v>
      </c>
      <c r="J25" s="442">
        <f>+NWC!J26</f>
        <v>74.185606060606062</v>
      </c>
      <c r="K25" s="442">
        <f>+NWC!K26</f>
        <v>83.522727272727266</v>
      </c>
      <c r="L25" s="442">
        <f>+NWC!L26</f>
        <v>92.859848484848484</v>
      </c>
      <c r="M25" s="442">
        <f>+NWC!M26</f>
        <v>102.19696969696969</v>
      </c>
      <c r="N25" s="442">
        <f>+NWC!N26</f>
        <v>111.53409090909091</v>
      </c>
      <c r="O25" s="442">
        <f>+NWC!O26</f>
        <v>120.87121212121212</v>
      </c>
      <c r="P25" s="442">
        <f>+NWC!P26</f>
        <v>130.20833333333331</v>
      </c>
      <c r="Q25" s="442">
        <f>+NWC!Q26</f>
        <v>222.38636363636363</v>
      </c>
      <c r="R25" s="442">
        <f>+NWC!R26</f>
        <v>241.53409090909091</v>
      </c>
      <c r="S25" s="442">
        <f>+NWC!S26</f>
        <v>260.68181818181819</v>
      </c>
      <c r="T25" s="442">
        <f>+NWC!T26</f>
        <v>279.82954545454544</v>
      </c>
      <c r="U25" s="442">
        <f>+NWC!U26</f>
        <v>297.27272727272725</v>
      </c>
      <c r="V25" s="442">
        <f>+NWC!V26</f>
        <v>314.03409090909088</v>
      </c>
      <c r="W25" s="442">
        <f>+NWC!W26</f>
        <v>330.7954545454545</v>
      </c>
      <c r="X25" s="442">
        <f>+NWC!X26</f>
        <v>347.55681818181819</v>
      </c>
      <c r="Y25" s="442">
        <f>+NWC!Y26</f>
        <v>364.30871212121212</v>
      </c>
      <c r="Z25" s="442">
        <f>+NWC!Z26</f>
        <v>381.06060606060601</v>
      </c>
      <c r="AA25" s="442">
        <f>+NWC!AA26</f>
        <v>397.8125</v>
      </c>
      <c r="AB25" s="442">
        <f>+NWC!AB26</f>
        <v>414.56439393939394</v>
      </c>
      <c r="AC25" s="442">
        <f>+NWC!AC26</f>
        <v>467.45265151515144</v>
      </c>
      <c r="AD25" s="442">
        <f>+NWC!AD26</f>
        <v>489.34659090909088</v>
      </c>
      <c r="AE25" s="442">
        <f>+NWC!AE26</f>
        <v>511.24053030303031</v>
      </c>
      <c r="AF25" s="442">
        <f>+NWC!AF26</f>
        <v>533.13446969696963</v>
      </c>
      <c r="AG25" s="442">
        <f>+NWC!AG26</f>
        <v>555.02840909090901</v>
      </c>
      <c r="AH25" s="442">
        <f>+NWC!AH26</f>
        <v>576.9223484848485</v>
      </c>
      <c r="AI25" s="442">
        <f>+NWC!AI26</f>
        <v>598.80681818181813</v>
      </c>
      <c r="AJ25" s="442">
        <f>+NWC!AJ26</f>
        <v>620.69128787878788</v>
      </c>
      <c r="AK25" s="442">
        <f>+NWC!AK26</f>
        <v>642.57575757575751</v>
      </c>
      <c r="AL25" s="442">
        <f>+NWC!AL26</f>
        <v>664.46022727272725</v>
      </c>
      <c r="AM25" s="442">
        <f>+NWC!AM26</f>
        <v>686.344696969697</v>
      </c>
      <c r="AN25" s="442">
        <f>+NWC!AN26</f>
        <v>708.22916666666663</v>
      </c>
    </row>
    <row r="26" spans="1:40" ht="15">
      <c r="A26" s="59"/>
      <c r="B26" s="109" t="s">
        <v>20</v>
      </c>
      <c r="C26" s="484">
        <f t="shared" ref="C26:P26" si="14">SUM(C23:C25)</f>
        <v>425</v>
      </c>
      <c r="D26" s="484">
        <f t="shared" si="14"/>
        <v>700</v>
      </c>
      <c r="E26" s="443">
        <f t="shared" si="14"/>
        <v>272.69534731506241</v>
      </c>
      <c r="F26" s="443">
        <f t="shared" si="14"/>
        <v>297.84656827930036</v>
      </c>
      <c r="G26" s="443">
        <f t="shared" si="14"/>
        <v>322.99778924353831</v>
      </c>
      <c r="H26" s="443">
        <f t="shared" si="14"/>
        <v>348.14901020777631</v>
      </c>
      <c r="I26" s="443">
        <f t="shared" si="14"/>
        <v>373.30023117201426</v>
      </c>
      <c r="J26" s="443">
        <f t="shared" si="14"/>
        <v>398.42515109737076</v>
      </c>
      <c r="K26" s="443">
        <f t="shared" si="14"/>
        <v>423.55007102272725</v>
      </c>
      <c r="L26" s="443">
        <f t="shared" si="14"/>
        <v>448.67499094808386</v>
      </c>
      <c r="M26" s="443">
        <f t="shared" si="14"/>
        <v>473.7999108734403</v>
      </c>
      <c r="N26" s="443">
        <f t="shared" si="14"/>
        <v>498.92483079879685</v>
      </c>
      <c r="O26" s="443">
        <f t="shared" si="14"/>
        <v>524.04975072415334</v>
      </c>
      <c r="P26" s="443">
        <f t="shared" si="14"/>
        <v>549.17467064950984</v>
      </c>
      <c r="Q26" s="443">
        <f t="shared" ref="Q26:AJ26" si="15">SUM(Q23:Q25)</f>
        <v>789.90911179812838</v>
      </c>
      <c r="R26" s="443">
        <f t="shared" si="15"/>
        <v>841.87795579879673</v>
      </c>
      <c r="S26" s="443">
        <f t="shared" si="15"/>
        <v>893.84679979946532</v>
      </c>
      <c r="T26" s="443">
        <f t="shared" si="15"/>
        <v>945.81564380013378</v>
      </c>
      <c r="U26" s="443">
        <f t="shared" si="15"/>
        <v>993.05030080213908</v>
      </c>
      <c r="V26" s="443">
        <f t="shared" si="15"/>
        <v>1038.7952352105615</v>
      </c>
      <c r="W26" s="443">
        <f t="shared" si="15"/>
        <v>1084.540169618984</v>
      </c>
      <c r="X26" s="443">
        <f t="shared" si="15"/>
        <v>1130.2851040274065</v>
      </c>
      <c r="Y26" s="443">
        <f t="shared" si="15"/>
        <v>1176.0037373969476</v>
      </c>
      <c r="Z26" s="443">
        <f t="shared" si="15"/>
        <v>1221.7223707664884</v>
      </c>
      <c r="AA26" s="443">
        <f t="shared" si="15"/>
        <v>1267.4410041360295</v>
      </c>
      <c r="AB26" s="443">
        <f t="shared" si="15"/>
        <v>1313.1596375055703</v>
      </c>
      <c r="AC26" s="443">
        <f t="shared" si="15"/>
        <v>1439.2811786291222</v>
      </c>
      <c r="AD26" s="443">
        <f t="shared" si="15"/>
        <v>1498.271395596591</v>
      </c>
      <c r="AE26" s="443">
        <f t="shared" si="15"/>
        <v>1557.2616125640595</v>
      </c>
      <c r="AF26" s="443">
        <f t="shared" si="15"/>
        <v>1616.2518295315285</v>
      </c>
      <c r="AG26" s="443">
        <f t="shared" si="15"/>
        <v>1675.2420464989973</v>
      </c>
      <c r="AH26" s="443">
        <f t="shared" si="15"/>
        <v>1734.2322634664661</v>
      </c>
      <c r="AI26" s="443">
        <f t="shared" si="15"/>
        <v>1793.1961793950536</v>
      </c>
      <c r="AJ26" s="443">
        <f t="shared" si="15"/>
        <v>1852.1600953236411</v>
      </c>
      <c r="AK26" s="443">
        <f t="shared" ref="AK26:AN26" si="16">SUM(AK23:AK25)</f>
        <v>1911.1240112522282</v>
      </c>
      <c r="AL26" s="443">
        <f t="shared" si="16"/>
        <v>1970.0879271808155</v>
      </c>
      <c r="AM26" s="443">
        <f t="shared" si="16"/>
        <v>2029.0518431094033</v>
      </c>
      <c r="AN26" s="443">
        <f t="shared" si="16"/>
        <v>2088.0157590379904</v>
      </c>
    </row>
    <row r="27" spans="1:40" ht="15">
      <c r="A27" s="59"/>
      <c r="B27" s="62"/>
      <c r="C27" s="75"/>
      <c r="D27" s="75"/>
      <c r="E27" s="118"/>
      <c r="F27" s="118"/>
      <c r="G27" s="118"/>
      <c r="H27" s="118"/>
      <c r="I27" s="11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</row>
    <row r="28" spans="1:40" ht="15">
      <c r="A28" s="59"/>
      <c r="B28" s="105" t="s">
        <v>305</v>
      </c>
      <c r="C28" s="481">
        <f>'Historicals &amp; Projections'!C26</f>
        <v>250</v>
      </c>
      <c r="D28" s="481">
        <f>'Historicals &amp; Projections'!D26</f>
        <v>250</v>
      </c>
      <c r="E28" s="442">
        <f>FIN!D32</f>
        <v>1000250</v>
      </c>
      <c r="F28" s="442">
        <f>FIN!E32</f>
        <v>1000250</v>
      </c>
      <c r="G28" s="442">
        <f>FIN!F32</f>
        <v>1000250</v>
      </c>
      <c r="H28" s="442">
        <f>FIN!G32</f>
        <v>500250</v>
      </c>
      <c r="I28" s="442">
        <f>FIN!H32</f>
        <v>500250</v>
      </c>
      <c r="J28" s="442">
        <f>FIN!I32</f>
        <v>500250</v>
      </c>
      <c r="K28" s="442">
        <f>FIN!J32</f>
        <v>500250</v>
      </c>
      <c r="L28" s="442">
        <f>FIN!K32</f>
        <v>500250</v>
      </c>
      <c r="M28" s="442">
        <f>FIN!L32</f>
        <v>500250</v>
      </c>
      <c r="N28" s="442">
        <f>FIN!M32</f>
        <v>500250</v>
      </c>
      <c r="O28" s="442">
        <f>FIN!N32</f>
        <v>500250</v>
      </c>
      <c r="P28" s="442">
        <f>FIN!O32</f>
        <v>500250</v>
      </c>
      <c r="Q28" s="442">
        <f>FIN!P32</f>
        <v>1050250</v>
      </c>
      <c r="R28" s="442">
        <f>FIN!Q32</f>
        <v>1050250</v>
      </c>
      <c r="S28" s="442">
        <f>FIN!R32</f>
        <v>1050250</v>
      </c>
      <c r="T28" s="442">
        <f>FIN!S32</f>
        <v>1050250</v>
      </c>
      <c r="U28" s="442">
        <f>FIN!T32</f>
        <v>1050250</v>
      </c>
      <c r="V28" s="442">
        <f>FIN!U32</f>
        <v>1050250</v>
      </c>
      <c r="W28" s="442">
        <f>FIN!V32</f>
        <v>1050250</v>
      </c>
      <c r="X28" s="442">
        <f>FIN!W32</f>
        <v>1050250</v>
      </c>
      <c r="Y28" s="442">
        <f>FIN!X32</f>
        <v>1050250</v>
      </c>
      <c r="Z28" s="442">
        <f>FIN!Y32</f>
        <v>1050250</v>
      </c>
      <c r="AA28" s="442">
        <f>FIN!Z32</f>
        <v>1050250</v>
      </c>
      <c r="AB28" s="442">
        <f>FIN!AA32</f>
        <v>1050250</v>
      </c>
      <c r="AC28" s="442">
        <f>FIN!AB32</f>
        <v>1050250</v>
      </c>
      <c r="AD28" s="442">
        <f>FIN!AC32</f>
        <v>1050250</v>
      </c>
      <c r="AE28" s="442">
        <f>FIN!AD32</f>
        <v>1050250</v>
      </c>
      <c r="AF28" s="442">
        <f>FIN!AE32</f>
        <v>1050250</v>
      </c>
      <c r="AG28" s="442">
        <f>FIN!AF32</f>
        <v>1050250</v>
      </c>
      <c r="AH28" s="442">
        <f>FIN!AG32</f>
        <v>1050250</v>
      </c>
      <c r="AI28" s="442">
        <f>FIN!AH32</f>
        <v>1050250</v>
      </c>
      <c r="AJ28" s="442">
        <f>FIN!AI32</f>
        <v>1050250</v>
      </c>
      <c r="AK28" s="442">
        <f>FIN!AJ32</f>
        <v>1050250</v>
      </c>
      <c r="AL28" s="442">
        <f>FIN!AK32</f>
        <v>1050250</v>
      </c>
      <c r="AM28" s="442">
        <f>FIN!AL32</f>
        <v>1050250</v>
      </c>
      <c r="AN28" s="442">
        <f>FIN!AM32</f>
        <v>1050250</v>
      </c>
    </row>
    <row r="29" spans="1:40" ht="15">
      <c r="A29" s="59"/>
      <c r="B29" s="105" t="s">
        <v>306</v>
      </c>
      <c r="C29" s="481">
        <f>'Historicals &amp; Projections'!C27</f>
        <v>250</v>
      </c>
      <c r="D29" s="481">
        <f>'Historicals &amp; Projections'!D27</f>
        <v>270</v>
      </c>
      <c r="E29" s="442">
        <f>+FIN!D46</f>
        <v>270</v>
      </c>
      <c r="F29" s="442">
        <f>+FIN!E46</f>
        <v>270</v>
      </c>
      <c r="G29" s="442">
        <f>+FIN!F46</f>
        <v>270</v>
      </c>
      <c r="H29" s="442">
        <f>+FIN!G46</f>
        <v>270</v>
      </c>
      <c r="I29" s="442">
        <f>+FIN!H46</f>
        <v>270</v>
      </c>
      <c r="J29" s="442">
        <f>+FIN!I46</f>
        <v>270</v>
      </c>
      <c r="K29" s="442">
        <f>+FIN!J46</f>
        <v>270</v>
      </c>
      <c r="L29" s="442">
        <f>+FIN!K46</f>
        <v>270</v>
      </c>
      <c r="M29" s="442">
        <f>+FIN!L46</f>
        <v>270</v>
      </c>
      <c r="N29" s="442">
        <f>+FIN!M46</f>
        <v>270</v>
      </c>
      <c r="O29" s="442">
        <f>+FIN!N46</f>
        <v>270</v>
      </c>
      <c r="P29" s="442">
        <f>+FIN!O46</f>
        <v>270</v>
      </c>
      <c r="Q29" s="442">
        <f>+FIN!P46</f>
        <v>270</v>
      </c>
      <c r="R29" s="442">
        <f>+FIN!Q46</f>
        <v>270</v>
      </c>
      <c r="S29" s="442">
        <f>+FIN!R46</f>
        <v>270</v>
      </c>
      <c r="T29" s="442">
        <f>+FIN!S46</f>
        <v>270</v>
      </c>
      <c r="U29" s="442">
        <f>+FIN!T46</f>
        <v>270</v>
      </c>
      <c r="V29" s="442">
        <f>+FIN!U46</f>
        <v>270</v>
      </c>
      <c r="W29" s="442">
        <f>+FIN!V46</f>
        <v>270</v>
      </c>
      <c r="X29" s="442">
        <f>+FIN!W46</f>
        <v>270</v>
      </c>
      <c r="Y29" s="442">
        <f>+FIN!X46</f>
        <v>270</v>
      </c>
      <c r="Z29" s="442">
        <f>+FIN!Y46</f>
        <v>270</v>
      </c>
      <c r="AA29" s="442">
        <f>+FIN!Z46</f>
        <v>270</v>
      </c>
      <c r="AB29" s="442">
        <f>+FIN!AA46</f>
        <v>270</v>
      </c>
      <c r="AC29" s="442">
        <f>+FIN!AB46</f>
        <v>270</v>
      </c>
      <c r="AD29" s="442">
        <f>+FIN!AC46</f>
        <v>270</v>
      </c>
      <c r="AE29" s="442">
        <f>+FIN!AD46</f>
        <v>270</v>
      </c>
      <c r="AF29" s="442">
        <f>+FIN!AE46</f>
        <v>270</v>
      </c>
      <c r="AG29" s="442">
        <f>+FIN!AF46</f>
        <v>270</v>
      </c>
      <c r="AH29" s="442">
        <f>+FIN!AG46</f>
        <v>270</v>
      </c>
      <c r="AI29" s="442">
        <f>+FIN!AH46</f>
        <v>270</v>
      </c>
      <c r="AJ29" s="442">
        <f>+FIN!AI46</f>
        <v>270</v>
      </c>
      <c r="AK29" s="442">
        <f>+FIN!AJ46</f>
        <v>270</v>
      </c>
      <c r="AL29" s="442">
        <f>+FIN!AK46</f>
        <v>270</v>
      </c>
      <c r="AM29" s="442">
        <f>+FIN!AL46</f>
        <v>270</v>
      </c>
      <c r="AN29" s="442">
        <f>+FIN!AM46</f>
        <v>270</v>
      </c>
    </row>
    <row r="30" spans="1:40" ht="15">
      <c r="A30" s="59"/>
      <c r="B30" s="109" t="s">
        <v>62</v>
      </c>
      <c r="C30" s="484">
        <f t="shared" ref="C30:P30" si="17">C28+C29</f>
        <v>500</v>
      </c>
      <c r="D30" s="484">
        <f t="shared" si="17"/>
        <v>520</v>
      </c>
      <c r="E30" s="443">
        <f>E28+E29</f>
        <v>1000520</v>
      </c>
      <c r="F30" s="443">
        <f t="shared" si="17"/>
        <v>1000520</v>
      </c>
      <c r="G30" s="443">
        <f t="shared" si="17"/>
        <v>1000520</v>
      </c>
      <c r="H30" s="443">
        <f t="shared" si="17"/>
        <v>500520</v>
      </c>
      <c r="I30" s="443">
        <f t="shared" si="17"/>
        <v>500520</v>
      </c>
      <c r="J30" s="443">
        <f t="shared" si="17"/>
        <v>500520</v>
      </c>
      <c r="K30" s="443">
        <f t="shared" si="17"/>
        <v>500520</v>
      </c>
      <c r="L30" s="443">
        <f t="shared" si="17"/>
        <v>500520</v>
      </c>
      <c r="M30" s="443">
        <f t="shared" si="17"/>
        <v>500520</v>
      </c>
      <c r="N30" s="443">
        <f t="shared" si="17"/>
        <v>500520</v>
      </c>
      <c r="O30" s="443">
        <f t="shared" si="17"/>
        <v>500520</v>
      </c>
      <c r="P30" s="443">
        <f t="shared" si="17"/>
        <v>500520</v>
      </c>
      <c r="Q30" s="443">
        <f t="shared" ref="Q30:AJ30" si="18">Q28+Q29</f>
        <v>1050520</v>
      </c>
      <c r="R30" s="443">
        <f t="shared" si="18"/>
        <v>1050520</v>
      </c>
      <c r="S30" s="443">
        <f t="shared" si="18"/>
        <v>1050520</v>
      </c>
      <c r="T30" s="443">
        <f t="shared" si="18"/>
        <v>1050520</v>
      </c>
      <c r="U30" s="443">
        <f t="shared" si="18"/>
        <v>1050520</v>
      </c>
      <c r="V30" s="443">
        <f t="shared" si="18"/>
        <v>1050520</v>
      </c>
      <c r="W30" s="443">
        <f t="shared" si="18"/>
        <v>1050520</v>
      </c>
      <c r="X30" s="443">
        <f t="shared" si="18"/>
        <v>1050520</v>
      </c>
      <c r="Y30" s="443">
        <f t="shared" si="18"/>
        <v>1050520</v>
      </c>
      <c r="Z30" s="443">
        <f t="shared" si="18"/>
        <v>1050520</v>
      </c>
      <c r="AA30" s="443">
        <f t="shared" si="18"/>
        <v>1050520</v>
      </c>
      <c r="AB30" s="443">
        <f t="shared" si="18"/>
        <v>1050520</v>
      </c>
      <c r="AC30" s="443">
        <f t="shared" si="18"/>
        <v>1050520</v>
      </c>
      <c r="AD30" s="443">
        <f t="shared" si="18"/>
        <v>1050520</v>
      </c>
      <c r="AE30" s="443">
        <f t="shared" si="18"/>
        <v>1050520</v>
      </c>
      <c r="AF30" s="443">
        <f t="shared" si="18"/>
        <v>1050520</v>
      </c>
      <c r="AG30" s="443">
        <f t="shared" si="18"/>
        <v>1050520</v>
      </c>
      <c r="AH30" s="443">
        <f t="shared" si="18"/>
        <v>1050520</v>
      </c>
      <c r="AI30" s="443">
        <f t="shared" si="18"/>
        <v>1050520</v>
      </c>
      <c r="AJ30" s="443">
        <f t="shared" si="18"/>
        <v>1050520</v>
      </c>
      <c r="AK30" s="443">
        <f t="shared" ref="AK30:AN30" si="19">AK28+AK29</f>
        <v>1050520</v>
      </c>
      <c r="AL30" s="443">
        <f t="shared" si="19"/>
        <v>1050520</v>
      </c>
      <c r="AM30" s="443">
        <f t="shared" si="19"/>
        <v>1050520</v>
      </c>
      <c r="AN30" s="443">
        <f t="shared" si="19"/>
        <v>1050520</v>
      </c>
    </row>
    <row r="31" spans="1:40" ht="16.25" customHeight="1">
      <c r="A31" s="59"/>
      <c r="B31" s="68"/>
      <c r="C31" s="111"/>
      <c r="D31" s="111"/>
      <c r="E31" s="75"/>
      <c r="F31" s="75"/>
      <c r="G31" s="75"/>
      <c r="H31" s="186"/>
      <c r="I31" s="79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</row>
    <row r="32" spans="1:40" ht="15">
      <c r="A32" s="59"/>
      <c r="B32" s="109" t="s">
        <v>16</v>
      </c>
      <c r="C32" s="484">
        <f>'Historicals &amp; Projections'!C30</f>
        <v>500</v>
      </c>
      <c r="D32" s="484">
        <f>'Historicals &amp; Projections'!D30</f>
        <v>1790</v>
      </c>
      <c r="E32" s="443">
        <f>+'Historicals &amp; Projections'!D30+PL!E37-FIN!D64+FIN!D65</f>
        <v>-163669.88398321456</v>
      </c>
      <c r="F32" s="443">
        <f>+E32+PL!F37-FIN!E64+FIN!E65</f>
        <v>-327134.77096609486</v>
      </c>
      <c r="G32" s="443">
        <f>+F32+PL!G37-FIN!F64+FIN!F65</f>
        <v>-488604.66094864096</v>
      </c>
      <c r="H32" s="443">
        <f>+G32+PL!H37-FIN!G64+FIN!G65</f>
        <v>-613357.33170863055</v>
      </c>
      <c r="I32" s="443">
        <f>+H32+PL!I37-FIN!H64+FIN!H65</f>
        <v>-736115.00546828599</v>
      </c>
      <c r="J32" s="443">
        <f>+I32+PL!J37-FIN!I64+FIN!I65</f>
        <v>-856879.40620543691</v>
      </c>
      <c r="K32" s="443">
        <f>+J32+PL!K37-FIN!J64+FIN!J65</f>
        <v>-975650.53392008343</v>
      </c>
      <c r="L32" s="443">
        <f>+K32+PL!L37-FIN!K64+FIN!K65</f>
        <v>-1092428.3886122254</v>
      </c>
      <c r="M32" s="443">
        <f>+L32+PL!M37-FIN!L64+FIN!L65</f>
        <v>-1207262.9702818631</v>
      </c>
      <c r="N32" s="443">
        <f>+M32+PL!N37-FIN!M64+FIN!M65</f>
        <v>-1320054.2789289963</v>
      </c>
      <c r="O32" s="443">
        <f>+N32+PL!O37-FIN!N64+FIN!N65</f>
        <v>-1430852.314553625</v>
      </c>
      <c r="P32" s="443">
        <f>+O32+PL!P37-FIN!O64+FIN!O65</f>
        <v>-1539657.0771557493</v>
      </c>
      <c r="Q32" s="443">
        <f>+P32+PL!Q37-FIN!P64+FIN!P65</f>
        <v>-1757200.8248259812</v>
      </c>
      <c r="R32" s="443">
        <f>+Q32+PL!R37-FIN!Q64+FIN!Q65</f>
        <v>-1971110.2096675588</v>
      </c>
      <c r="S32" s="443">
        <f>+R32+PL!S37-FIN!R64+FIN!R65</f>
        <v>-2181093.5650138156</v>
      </c>
      <c r="T32" s="443">
        <f>+S32+PL!T37-FIN!S64+FIN!S65</f>
        <v>-2387150.8908647513</v>
      </c>
      <c r="U32" s="443">
        <f>+T32+PL!U37-FIN!T64+FIN!T65</f>
        <v>-2589592.5032297247</v>
      </c>
      <c r="V32" s="443">
        <f>+U32+PL!V37-FIN!U64+FIN!U65</f>
        <v>-2788689.243953655</v>
      </c>
      <c r="W32" s="443">
        <f>+V32+PL!W37-FIN!V64+FIN!V65</f>
        <v>-2984441.1130365427</v>
      </c>
      <c r="X32" s="443">
        <f>+W32+PL!X37-FIN!W64+FIN!W65</f>
        <v>-3176848.1104783877</v>
      </c>
      <c r="Y32" s="443">
        <f>+X32+PL!Y37-FIN!X64+FIN!X65</f>
        <v>-3365911.9602570198</v>
      </c>
      <c r="Z32" s="443">
        <f>+Y32+PL!Z37-FIN!Y64+FIN!Y65</f>
        <v>-3551632.6623724387</v>
      </c>
      <c r="AA32" s="443">
        <f>+Z32+PL!AA37-FIN!Z64+FIN!Z65</f>
        <v>-3734010.2168246447</v>
      </c>
      <c r="AB32" s="443">
        <f>+AA32+PL!AB37-FIN!AA64+FIN!AA65</f>
        <v>-3913044.6236136374</v>
      </c>
      <c r="AC32" s="443">
        <f>+AB32+PL!AC37-FIN!AB64+FIN!AB65</f>
        <v>-3087790.630954159</v>
      </c>
      <c r="AD32" s="443">
        <f>+AC32+PL!AD37-FIN!AC64+FIN!AC65</f>
        <v>-3257890.582066962</v>
      </c>
      <c r="AE32" s="443">
        <f>+AD32+PL!AE37-FIN!AD64+FIN!AD65</f>
        <v>-3423344.4769520466</v>
      </c>
      <c r="AF32" s="443">
        <f>+AE32+PL!AF37-FIN!AE64+FIN!AE65</f>
        <v>-3584152.3156094132</v>
      </c>
      <c r="AG32" s="443">
        <f>+AF32+PL!AG37-FIN!AF64+FIN!AF65</f>
        <v>-3740314.0980390613</v>
      </c>
      <c r="AH32" s="443">
        <f>+AG32+PL!AH37-FIN!AG64+FIN!AG65</f>
        <v>-3891829.8242409909</v>
      </c>
      <c r="AI32" s="443">
        <f>+AH32+PL!AI37-FIN!AH64+FIN!AH65</f>
        <v>-4038701.2181930318</v>
      </c>
      <c r="AJ32" s="443">
        <f>+AI32+PL!AJ37-FIN!AI64+FIN!AI65</f>
        <v>-4180928.2798951846</v>
      </c>
      <c r="AK32" s="443">
        <f>+AJ32+PL!AK37-FIN!AJ64+FIN!AJ65</f>
        <v>-4318511.0093474481</v>
      </c>
      <c r="AL32" s="443">
        <f>+AK32+PL!AL37-FIN!AK64+FIN!AK65</f>
        <v>-4451449.4065498235</v>
      </c>
      <c r="AM32" s="443">
        <f>+AL32+PL!AM37-FIN!AL64+FIN!AL65</f>
        <v>-4579743.4715023106</v>
      </c>
      <c r="AN32" s="443">
        <f>+AM32+PL!AN37-FIN!AM64+FIN!AM65</f>
        <v>-4703393.2042049086</v>
      </c>
    </row>
    <row r="33" spans="1:40" ht="15">
      <c r="A33" s="59"/>
      <c r="B33" s="58"/>
      <c r="C33" s="68"/>
      <c r="D33" s="68"/>
      <c r="E33" s="79"/>
      <c r="F33" s="79"/>
      <c r="G33" s="75"/>
      <c r="H33" s="186"/>
      <c r="I33" s="79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</row>
    <row r="34" spans="1:40" ht="15">
      <c r="A34" s="59"/>
      <c r="B34" s="122" t="s">
        <v>22</v>
      </c>
      <c r="C34" s="493">
        <f t="shared" ref="C34:P34" si="20">+C32+C26+C30</f>
        <v>1425</v>
      </c>
      <c r="D34" s="493">
        <f t="shared" si="20"/>
        <v>3010</v>
      </c>
      <c r="E34" s="494">
        <f>+E32+E26+E30</f>
        <v>837122.81136410055</v>
      </c>
      <c r="F34" s="494">
        <f t="shared" si="20"/>
        <v>673683.07560218452</v>
      </c>
      <c r="G34" s="494">
        <f>+G32+G26+G30</f>
        <v>512238.33684060257</v>
      </c>
      <c r="H34" s="494">
        <f t="shared" si="20"/>
        <v>-112489.18269842281</v>
      </c>
      <c r="I34" s="494">
        <f t="shared" si="20"/>
        <v>-235221.70523711399</v>
      </c>
      <c r="J34" s="494">
        <f t="shared" si="20"/>
        <v>-355960.98105433956</v>
      </c>
      <c r="K34" s="494">
        <f t="shared" si="20"/>
        <v>-474706.98384906072</v>
      </c>
      <c r="L34" s="494">
        <f t="shared" si="20"/>
        <v>-591459.71362127736</v>
      </c>
      <c r="M34" s="494">
        <f t="shared" si="20"/>
        <v>-706269.17037098971</v>
      </c>
      <c r="N34" s="494">
        <f t="shared" si="20"/>
        <v>-819035.35409819754</v>
      </c>
      <c r="O34" s="494">
        <f t="shared" si="20"/>
        <v>-929808.26480290084</v>
      </c>
      <c r="P34" s="494">
        <f t="shared" si="20"/>
        <v>-1038587.9024850999</v>
      </c>
      <c r="Q34" s="494">
        <f t="shared" ref="Q34:AJ34" si="21">+Q32+Q26+Q30</f>
        <v>-705890.91571418312</v>
      </c>
      <c r="R34" s="494">
        <f t="shared" si="21"/>
        <v>-919748.33171176002</v>
      </c>
      <c r="S34" s="494">
        <f t="shared" si="21"/>
        <v>-1129679.7182140164</v>
      </c>
      <c r="T34" s="494">
        <f t="shared" si="21"/>
        <v>-1335685.0752209513</v>
      </c>
      <c r="U34" s="494">
        <f t="shared" si="21"/>
        <v>-1538079.4529289226</v>
      </c>
      <c r="V34" s="494">
        <f t="shared" si="21"/>
        <v>-1737130.4487184444</v>
      </c>
      <c r="W34" s="494">
        <f t="shared" si="21"/>
        <v>-1932836.5728669236</v>
      </c>
      <c r="X34" s="494">
        <f t="shared" si="21"/>
        <v>-2125197.8253743602</v>
      </c>
      <c r="Y34" s="494">
        <f t="shared" si="21"/>
        <v>-2314215.9565196228</v>
      </c>
      <c r="Z34" s="494">
        <f t="shared" si="21"/>
        <v>-2499890.9400016721</v>
      </c>
      <c r="AA34" s="494">
        <f t="shared" si="21"/>
        <v>-2682222.7758205086</v>
      </c>
      <c r="AB34" s="494">
        <f t="shared" si="21"/>
        <v>-2861211.4639761318</v>
      </c>
      <c r="AC34" s="494">
        <f t="shared" si="21"/>
        <v>-2035831.3497755299</v>
      </c>
      <c r="AD34" s="494">
        <f t="shared" si="21"/>
        <v>-2205872.3106713654</v>
      </c>
      <c r="AE34" s="494">
        <f t="shared" si="21"/>
        <v>-2371267.2153394828</v>
      </c>
      <c r="AF34" s="494">
        <f t="shared" si="21"/>
        <v>-2532016.0637798817</v>
      </c>
      <c r="AG34" s="494">
        <f t="shared" si="21"/>
        <v>-2688118.8559925621</v>
      </c>
      <c r="AH34" s="494">
        <f t="shared" si="21"/>
        <v>-2839575.5919775246</v>
      </c>
      <c r="AI34" s="494">
        <f t="shared" si="21"/>
        <v>-2986388.0220136368</v>
      </c>
      <c r="AJ34" s="494">
        <f t="shared" si="21"/>
        <v>-3128556.1197998608</v>
      </c>
      <c r="AK34" s="494">
        <f t="shared" ref="AK34:AN34" si="22">+AK32+AK26+AK30</f>
        <v>-3266079.8853361961</v>
      </c>
      <c r="AL34" s="494">
        <f t="shared" si="22"/>
        <v>-3398959.3186226422</v>
      </c>
      <c r="AM34" s="494">
        <f t="shared" si="22"/>
        <v>-3527194.4196592011</v>
      </c>
      <c r="AN34" s="494">
        <f t="shared" si="22"/>
        <v>-3650785.1884458708</v>
      </c>
    </row>
    <row r="35" spans="1:40" s="39" customFormat="1" ht="15">
      <c r="A35" s="167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</row>
    <row r="36" spans="1:40" ht="15">
      <c r="A36" s="59"/>
      <c r="B36" s="58"/>
      <c r="C36" s="59"/>
      <c r="D36" s="59"/>
      <c r="E36" s="187">
        <f>+E3-D3</f>
        <v>0</v>
      </c>
      <c r="F36" s="187">
        <f>+F3-E3</f>
        <v>0</v>
      </c>
      <c r="G36" s="187">
        <f>+G3-F3</f>
        <v>0</v>
      </c>
      <c r="H36" s="187">
        <f t="shared" ref="H36:P36" si="23">+H3-G3</f>
        <v>0</v>
      </c>
      <c r="I36" s="187">
        <f t="shared" si="23"/>
        <v>0</v>
      </c>
      <c r="J36" s="187">
        <f t="shared" si="23"/>
        <v>0</v>
      </c>
      <c r="K36" s="187">
        <f t="shared" si="23"/>
        <v>0</v>
      </c>
      <c r="L36" s="187">
        <f t="shared" si="23"/>
        <v>0</v>
      </c>
      <c r="M36" s="187">
        <f t="shared" si="23"/>
        <v>0</v>
      </c>
      <c r="N36" s="187">
        <f t="shared" si="23"/>
        <v>0</v>
      </c>
      <c r="O36" s="187">
        <f t="shared" si="23"/>
        <v>0</v>
      </c>
      <c r="P36" s="187">
        <f t="shared" si="23"/>
        <v>0</v>
      </c>
      <c r="Q36" s="187">
        <f t="shared" ref="Q36" si="24">+Q3-P3</f>
        <v>0</v>
      </c>
      <c r="R36" s="187">
        <f t="shared" ref="R36" si="25">+R3-Q3</f>
        <v>0</v>
      </c>
      <c r="S36" s="187">
        <f t="shared" ref="S36" si="26">+S3-R3</f>
        <v>0</v>
      </c>
      <c r="T36" s="187">
        <f t="shared" ref="T36" si="27">+T3-S3</f>
        <v>0</v>
      </c>
      <c r="U36" s="187">
        <f t="shared" ref="U36" si="28">+U3-T3</f>
        <v>0</v>
      </c>
      <c r="V36" s="187">
        <f t="shared" ref="V36" si="29">+V3-U3</f>
        <v>0</v>
      </c>
      <c r="W36" s="187">
        <f t="shared" ref="W36" si="30">+W3-V3</f>
        <v>0</v>
      </c>
      <c r="X36" s="187">
        <f t="shared" ref="X36" si="31">+X3-W3</f>
        <v>0</v>
      </c>
      <c r="Y36" s="187">
        <f t="shared" ref="Y36" si="32">+Y3-X3</f>
        <v>0</v>
      </c>
      <c r="Z36" s="187">
        <f t="shared" ref="Z36" si="33">+Z3-Y3</f>
        <v>0</v>
      </c>
      <c r="AA36" s="187">
        <f t="shared" ref="AA36" si="34">+AA3-Z3</f>
        <v>0</v>
      </c>
      <c r="AB36" s="187">
        <f t="shared" ref="AB36" si="35">+AB3-AA3</f>
        <v>0</v>
      </c>
      <c r="AC36" s="187">
        <f t="shared" ref="AC36" si="36">+AC3-AB3</f>
        <v>0</v>
      </c>
      <c r="AD36" s="187">
        <f t="shared" ref="AD36" si="37">+AD3-AC3</f>
        <v>0</v>
      </c>
      <c r="AE36" s="187">
        <f t="shared" ref="AE36" si="38">+AE3-AD3</f>
        <v>0</v>
      </c>
      <c r="AF36" s="187">
        <f t="shared" ref="AF36" si="39">+AF3-AE3</f>
        <v>0</v>
      </c>
      <c r="AG36" s="187">
        <f t="shared" ref="AG36" si="40">+AG3-AF3</f>
        <v>0</v>
      </c>
      <c r="AH36" s="187">
        <f t="shared" ref="AH36" si="41">+AH3-AG3</f>
        <v>0</v>
      </c>
      <c r="AI36" s="187">
        <f t="shared" ref="AI36" si="42">+AI3-AH3</f>
        <v>0</v>
      </c>
      <c r="AJ36" s="187">
        <f t="shared" ref="AJ36" si="43">+AJ3-AI3</f>
        <v>0</v>
      </c>
      <c r="AK36" s="187">
        <f t="shared" ref="AK36" si="44">+AK3-AJ3</f>
        <v>0</v>
      </c>
      <c r="AL36" s="187">
        <f t="shared" ref="AL36" si="45">+AL3-AK3</f>
        <v>0</v>
      </c>
      <c r="AM36" s="187">
        <f t="shared" ref="AM36" si="46">+AM3-AL3</f>
        <v>0</v>
      </c>
      <c r="AN36" s="187">
        <f t="shared" ref="AN36" si="47">+AN3-AM3</f>
        <v>0</v>
      </c>
    </row>
    <row r="37" spans="1:40" ht="15">
      <c r="A37" s="59"/>
      <c r="B37" s="58"/>
      <c r="C37" s="59"/>
      <c r="D37" s="59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</row>
    <row r="38" spans="1:40" ht="15">
      <c r="A38" s="59"/>
      <c r="B38" s="58"/>
      <c r="C38" s="59"/>
      <c r="D38" s="59"/>
      <c r="E38" s="162" t="s">
        <v>598</v>
      </c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</row>
    <row r="39" spans="1:40" ht="15">
      <c r="A39" s="59"/>
      <c r="B39" s="58"/>
      <c r="C39" s="58"/>
      <c r="D39" s="58"/>
      <c r="E39" s="58"/>
      <c r="F39" s="98"/>
      <c r="G39" s="9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</row>
    <row r="40" spans="1:40" ht="15">
      <c r="A40" s="59"/>
      <c r="B40" s="58"/>
      <c r="C40" s="58"/>
      <c r="D40" s="58"/>
      <c r="E40" s="58"/>
      <c r="F40" s="9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</row>
    <row r="41" spans="1:40">
      <c r="C41" s="16"/>
      <c r="D41" s="16"/>
    </row>
    <row r="42" spans="1:40">
      <c r="C42" s="16"/>
      <c r="D42" s="16"/>
    </row>
    <row r="43" spans="1:40">
      <c r="C43" s="16"/>
      <c r="D43" s="16"/>
    </row>
    <row r="44" spans="1:40">
      <c r="C44" s="16"/>
      <c r="D44" s="16"/>
    </row>
    <row r="45" spans="1:40">
      <c r="C45" s="16"/>
      <c r="D45" s="16"/>
    </row>
    <row r="46" spans="1:40">
      <c r="C46" s="16"/>
      <c r="D46" s="16"/>
    </row>
    <row r="47" spans="1:40">
      <c r="C47" s="16"/>
      <c r="D47" s="16"/>
    </row>
    <row r="48" spans="1:40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2:6">
      <c r="B65" s="7"/>
      <c r="C65" s="24"/>
      <c r="D65" s="24"/>
      <c r="E65" s="10"/>
      <c r="F65" s="10"/>
    </row>
    <row r="66" spans="2:6">
      <c r="B66" s="7"/>
      <c r="C66" s="24"/>
      <c r="D66" s="24"/>
      <c r="E66" s="10"/>
      <c r="F66" s="10"/>
    </row>
    <row r="67" spans="2:6">
      <c r="B67" s="7"/>
      <c r="C67" s="24"/>
      <c r="D67" s="24"/>
      <c r="E67" s="10"/>
      <c r="F67" s="10"/>
    </row>
    <row r="68" spans="2:6">
      <c r="B68" s="7"/>
      <c r="C68" s="24"/>
      <c r="D68" s="24"/>
      <c r="E68" s="10"/>
      <c r="F68" s="10"/>
    </row>
    <row r="69" spans="2:6">
      <c r="B69" s="7"/>
      <c r="C69" s="24"/>
      <c r="D69" s="24"/>
      <c r="E69" s="10"/>
      <c r="F69" s="10"/>
    </row>
    <row r="70" spans="2:6">
      <c r="B70" s="7"/>
      <c r="C70" s="24"/>
      <c r="D70" s="24"/>
      <c r="E70" s="10"/>
      <c r="F70" s="10"/>
    </row>
    <row r="71" spans="2:6">
      <c r="B71" s="7"/>
      <c r="C71" s="24"/>
      <c r="D71" s="24"/>
      <c r="E71" s="10"/>
      <c r="F71" s="10"/>
    </row>
    <row r="72" spans="2:6">
      <c r="B72" s="7"/>
      <c r="C72" s="24"/>
      <c r="D72" s="24"/>
      <c r="E72" s="10"/>
      <c r="F72" s="10"/>
    </row>
    <row r="73" spans="2:6">
      <c r="B73" s="7"/>
      <c r="C73" s="24"/>
      <c r="D73" s="24"/>
      <c r="E73" s="10"/>
      <c r="F73" s="10"/>
    </row>
    <row r="74" spans="2:6">
      <c r="B74" s="7"/>
      <c r="C74" s="24"/>
      <c r="D74" s="24"/>
      <c r="E74" s="10"/>
      <c r="F74" s="10"/>
    </row>
    <row r="75" spans="2:6">
      <c r="B75" s="7"/>
      <c r="C75" s="24"/>
      <c r="D75" s="24"/>
      <c r="E75" s="10"/>
      <c r="F75" s="10"/>
    </row>
    <row r="76" spans="2:6">
      <c r="B76" s="7"/>
      <c r="C76" s="24"/>
      <c r="D76" s="24"/>
      <c r="E76" s="10"/>
      <c r="F76" s="10"/>
    </row>
    <row r="77" spans="2:6">
      <c r="B77" s="7"/>
      <c r="C77" s="24"/>
      <c r="D77" s="24"/>
      <c r="E77" s="10"/>
      <c r="F77" s="10"/>
    </row>
    <row r="78" spans="2:6">
      <c r="B78" s="7"/>
      <c r="C78" s="24"/>
      <c r="D78" s="24"/>
      <c r="E78" s="10"/>
      <c r="F78" s="10"/>
    </row>
    <row r="79" spans="2:6">
      <c r="B79" s="7"/>
      <c r="C79" s="24"/>
      <c r="D79" s="24"/>
      <c r="E79" s="10"/>
      <c r="F79" s="10"/>
    </row>
    <row r="80" spans="2:6">
      <c r="B80" s="7"/>
      <c r="C80" s="24"/>
      <c r="D80" s="24"/>
      <c r="E80" s="10"/>
      <c r="F80" s="10"/>
    </row>
    <row r="81" spans="2:6">
      <c r="B81" s="7"/>
      <c r="C81" s="24"/>
      <c r="D81" s="24"/>
      <c r="E81" s="10"/>
      <c r="F81" s="10"/>
    </row>
    <row r="82" spans="2:6">
      <c r="B82" s="7"/>
      <c r="C82" s="24"/>
      <c r="D82" s="24"/>
      <c r="E82" s="10"/>
      <c r="F82" s="10"/>
    </row>
    <row r="83" spans="2:6">
      <c r="B83" s="7"/>
      <c r="C83" s="24"/>
      <c r="D83" s="24"/>
      <c r="E83" s="10"/>
      <c r="F83" s="10"/>
    </row>
    <row r="84" spans="2:6">
      <c r="B84" s="7"/>
      <c r="C84" s="24"/>
      <c r="D84" s="24"/>
      <c r="E84" s="10"/>
      <c r="F84" s="10"/>
    </row>
    <row r="85" spans="2:6">
      <c r="B85" s="7"/>
      <c r="C85" s="24"/>
      <c r="D85" s="24"/>
      <c r="E85" s="10"/>
      <c r="F85" s="10"/>
    </row>
    <row r="86" spans="2:6">
      <c r="B86" s="7"/>
      <c r="C86" s="24"/>
      <c r="D86" s="24"/>
      <c r="E86" s="10"/>
      <c r="F86" s="10"/>
    </row>
    <row r="87" spans="2:6">
      <c r="B87" s="7"/>
      <c r="C87" s="24"/>
      <c r="D87" s="24"/>
      <c r="E87" s="10"/>
      <c r="F87" s="10"/>
    </row>
    <row r="88" spans="2:6">
      <c r="B88" s="7"/>
      <c r="C88" s="24"/>
      <c r="D88" s="24"/>
      <c r="E88" s="10"/>
      <c r="F88" s="10"/>
    </row>
    <row r="89" spans="2:6">
      <c r="B89" s="7"/>
      <c r="C89" s="24"/>
      <c r="D89" s="24"/>
      <c r="E89" s="10"/>
      <c r="F89" s="10"/>
    </row>
    <row r="90" spans="2:6">
      <c r="B90" s="7"/>
      <c r="C90" s="24"/>
      <c r="D90" s="24"/>
      <c r="E90" s="10"/>
      <c r="F90" s="10"/>
    </row>
    <row r="91" spans="2:6">
      <c r="B91" s="7"/>
      <c r="C91" s="24"/>
      <c r="D91" s="24"/>
      <c r="E91" s="10"/>
      <c r="F91" s="10"/>
    </row>
    <row r="92" spans="2:6">
      <c r="B92" s="7"/>
      <c r="C92" s="24"/>
      <c r="D92" s="24"/>
      <c r="E92" s="10"/>
      <c r="F92" s="10"/>
    </row>
    <row r="93" spans="2:6">
      <c r="B93" s="7"/>
      <c r="C93" s="24"/>
      <c r="D93" s="24"/>
      <c r="E93" s="10"/>
      <c r="F93" s="10"/>
    </row>
    <row r="94" spans="2:6">
      <c r="B94" s="7"/>
      <c r="C94" s="24"/>
      <c r="D94" s="24"/>
      <c r="E94" s="10"/>
      <c r="F94" s="10"/>
    </row>
    <row r="95" spans="2:6">
      <c r="B95" s="7"/>
      <c r="C95" s="24"/>
      <c r="D95" s="24"/>
      <c r="E95" s="10"/>
      <c r="F95" s="10"/>
    </row>
    <row r="96" spans="2:6">
      <c r="B96" s="7"/>
      <c r="C96" s="24"/>
      <c r="D96" s="24"/>
      <c r="E96" s="10"/>
      <c r="F96" s="10"/>
    </row>
    <row r="97" spans="1:6">
      <c r="B97" s="7"/>
      <c r="C97" s="24"/>
      <c r="D97" s="24"/>
      <c r="E97" s="10"/>
      <c r="F97" s="10"/>
    </row>
    <row r="98" spans="1:6">
      <c r="B98" s="7"/>
      <c r="C98" s="24"/>
      <c r="D98" s="24"/>
      <c r="E98" s="10"/>
      <c r="F98" s="10"/>
    </row>
    <row r="99" spans="1:6">
      <c r="B99" s="7"/>
      <c r="C99" s="24"/>
      <c r="D99" s="24"/>
      <c r="E99" s="10"/>
      <c r="F99" s="10"/>
    </row>
    <row r="100" spans="1:6">
      <c r="B100" s="7"/>
      <c r="C100" s="24"/>
      <c r="D100" s="24"/>
      <c r="E100" s="10"/>
      <c r="F100" s="10"/>
    </row>
    <row r="101" spans="1:6">
      <c r="B101" s="7"/>
      <c r="C101" s="24"/>
      <c r="D101" s="24"/>
      <c r="E101" s="10"/>
      <c r="F101" s="10"/>
    </row>
    <row r="102" spans="1:6">
      <c r="B102" s="7"/>
      <c r="C102" s="24"/>
      <c r="D102" s="24"/>
      <c r="E102" s="10"/>
      <c r="F102" s="10"/>
    </row>
    <row r="103" spans="1:6">
      <c r="B103" s="7"/>
      <c r="C103" s="24"/>
      <c r="D103" s="24"/>
      <c r="E103" s="10"/>
      <c r="F103" s="10"/>
    </row>
    <row r="106" spans="1:6" s="12" customFormat="1">
      <c r="A106" s="18">
        <v>2</v>
      </c>
      <c r="B106" s="19" t="s">
        <v>38</v>
      </c>
      <c r="C106" s="20"/>
      <c r="D106" s="20"/>
    </row>
    <row r="109" spans="1:6" ht="15" thickBot="1">
      <c r="B109" s="13" t="s">
        <v>23</v>
      </c>
      <c r="C109" s="13"/>
      <c r="D109" s="13"/>
      <c r="E109" s="14" t="e">
        <f>+#REF!</f>
        <v>#REF!</v>
      </c>
      <c r="F109" s="14" t="e">
        <f>+#REF!</f>
        <v>#REF!</v>
      </c>
    </row>
    <row r="111" spans="1:6">
      <c r="B111" s="15" t="s">
        <v>39</v>
      </c>
      <c r="C111" s="15"/>
      <c r="D111" s="15"/>
      <c r="E111" s="15"/>
      <c r="F111" s="15"/>
    </row>
    <row r="113" spans="2:6">
      <c r="B113" s="7" t="s">
        <v>40</v>
      </c>
      <c r="E113" s="22" t="e">
        <f>+#REF!/#REF!</f>
        <v>#REF!</v>
      </c>
      <c r="F113" s="22" t="e">
        <f>+#REF!/#REF!</f>
        <v>#REF!</v>
      </c>
    </row>
    <row r="114" spans="2:6">
      <c r="B114" s="7" t="s">
        <v>41</v>
      </c>
      <c r="E114" s="22" t="e">
        <f>+#REF!/#REF!</f>
        <v>#REF!</v>
      </c>
      <c r="F114" s="22" t="e">
        <f>+#REF!/#REF!</f>
        <v>#REF!</v>
      </c>
    </row>
    <row r="115" spans="2:6">
      <c r="B115" s="7" t="s">
        <v>43</v>
      </c>
      <c r="E115" s="22" t="e">
        <f>+#REF!/#REF!</f>
        <v>#REF!</v>
      </c>
      <c r="F115" s="22" t="e">
        <f>+#REF!/#REF!</f>
        <v>#REF!</v>
      </c>
    </row>
    <row r="116" spans="2:6">
      <c r="B116" s="7" t="s">
        <v>44</v>
      </c>
      <c r="E116" s="22" t="e">
        <f>+#REF!/E32</f>
        <v>#REF!</v>
      </c>
      <c r="F116" s="22" t="e">
        <f>+#REF!/F32</f>
        <v>#REF!</v>
      </c>
    </row>
    <row r="117" spans="2:6">
      <c r="B117" s="7" t="s">
        <v>45</v>
      </c>
      <c r="E117" s="22"/>
      <c r="F117" s="22"/>
    </row>
    <row r="118" spans="2:6">
      <c r="B118" s="7" t="s">
        <v>46</v>
      </c>
      <c r="E118" s="22" t="e">
        <f>+#REF!/E21</f>
        <v>#REF!</v>
      </c>
      <c r="F118" s="22" t="e">
        <f>+#REF!/F21</f>
        <v>#REF!</v>
      </c>
    </row>
    <row r="119" spans="2:6">
      <c r="B119" s="7"/>
      <c r="E119" s="22"/>
      <c r="F119" s="22"/>
    </row>
    <row r="120" spans="2:6">
      <c r="B120" s="7"/>
      <c r="E120" s="22"/>
      <c r="F120" s="22"/>
    </row>
    <row r="121" spans="2:6">
      <c r="B121" s="7"/>
      <c r="E121" s="22"/>
      <c r="F121" s="22"/>
    </row>
    <row r="122" spans="2:6">
      <c r="B122" s="7"/>
      <c r="E122" s="22"/>
      <c r="F122" s="22"/>
    </row>
    <row r="123" spans="2:6">
      <c r="B123" s="15" t="s">
        <v>47</v>
      </c>
      <c r="C123" s="15"/>
      <c r="D123" s="15"/>
      <c r="E123" s="15"/>
      <c r="F123" s="15"/>
    </row>
    <row r="124" spans="2:6">
      <c r="B124" s="7"/>
      <c r="E124" s="22"/>
      <c r="F124" s="22"/>
    </row>
    <row r="125" spans="2:6">
      <c r="B125" s="7" t="s">
        <v>48</v>
      </c>
      <c r="E125" s="22"/>
      <c r="F125" s="22"/>
    </row>
    <row r="126" spans="2:6">
      <c r="B126" s="7" t="s">
        <v>49</v>
      </c>
    </row>
    <row r="127" spans="2:6">
      <c r="B127" s="7" t="s">
        <v>50</v>
      </c>
    </row>
    <row r="128" spans="2:6">
      <c r="B128" s="7" t="s">
        <v>51</v>
      </c>
    </row>
    <row r="129" spans="2:6">
      <c r="B129" s="7"/>
    </row>
    <row r="130" spans="2:6">
      <c r="B130" s="7"/>
    </row>
    <row r="131" spans="2:6">
      <c r="B131" s="15" t="s">
        <v>52</v>
      </c>
      <c r="C131" s="15"/>
      <c r="D131" s="15"/>
      <c r="E131" s="15"/>
      <c r="F131" s="15"/>
    </row>
    <row r="132" spans="2:6">
      <c r="B132" s="7"/>
      <c r="E132" s="22"/>
      <c r="F132" s="22"/>
    </row>
    <row r="133" spans="2:6">
      <c r="B133" s="7" t="s">
        <v>53</v>
      </c>
      <c r="E133" s="22"/>
      <c r="F133" s="22"/>
    </row>
    <row r="134" spans="2:6">
      <c r="B134" s="7" t="s">
        <v>54</v>
      </c>
    </row>
    <row r="135" spans="2:6">
      <c r="B135" s="7" t="s">
        <v>55</v>
      </c>
    </row>
    <row r="136" spans="2:6">
      <c r="B136" s="7" t="s">
        <v>56</v>
      </c>
    </row>
    <row r="137" spans="2:6">
      <c r="B137" s="7" t="s">
        <v>66</v>
      </c>
    </row>
    <row r="140" spans="2:6">
      <c r="B140" s="15" t="s">
        <v>57</v>
      </c>
      <c r="C140" s="15"/>
      <c r="D140" s="15"/>
      <c r="E140" s="15"/>
      <c r="F140" s="15"/>
    </row>
    <row r="141" spans="2:6">
      <c r="B141" s="7"/>
      <c r="E141" s="22"/>
      <c r="F141" s="22"/>
    </row>
    <row r="142" spans="2:6">
      <c r="B142" s="7" t="s">
        <v>53</v>
      </c>
      <c r="E142" s="22"/>
      <c r="F142" s="22"/>
    </row>
    <row r="143" spans="2:6">
      <c r="B143" s="7" t="s">
        <v>54</v>
      </c>
    </row>
    <row r="144" spans="2:6">
      <c r="B144" s="7" t="s">
        <v>55</v>
      </c>
    </row>
    <row r="145" spans="2:2">
      <c r="B145" s="7" t="s">
        <v>56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/>
  </sheetPr>
  <dimension ref="A1:AP109"/>
  <sheetViews>
    <sheetView showGridLines="0" zoomScaleNormal="100" workbookViewId="0">
      <pane xSplit="2" topLeftCell="C1" activePane="topRight" state="frozen"/>
      <selection pane="topRight" activeCell="AA33" sqref="AA33"/>
    </sheetView>
  </sheetViews>
  <sheetFormatPr baseColWidth="10" defaultColWidth="8.83203125" defaultRowHeight="14"/>
  <cols>
    <col min="1" max="1" width="2.6640625" style="21" customWidth="1"/>
    <col min="2" max="2" width="55.5" style="16" customWidth="1"/>
    <col min="3" max="41" width="12.33203125" style="16" customWidth="1"/>
    <col min="42" max="16384" width="8.83203125" style="16"/>
  </cols>
  <sheetData>
    <row r="1" spans="1:41" s="323" customFormat="1" ht="16">
      <c r="A1" s="297" t="s">
        <v>231</v>
      </c>
      <c r="B1" s="298"/>
      <c r="C1" s="299"/>
      <c r="D1" s="299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</row>
    <row r="2" spans="1:41" s="11" customFormat="1" ht="15">
      <c r="A2" s="6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</row>
    <row r="3" spans="1:41" s="11" customFormat="1" ht="15">
      <c r="A3" s="65"/>
      <c r="B3" s="66" t="s">
        <v>21</v>
      </c>
      <c r="C3" s="67">
        <f>+BS!E3</f>
        <v>0</v>
      </c>
      <c r="D3" s="67">
        <f>+BS!F3</f>
        <v>0</v>
      </c>
      <c r="E3" s="67">
        <f>+BS!G3</f>
        <v>0</v>
      </c>
      <c r="F3" s="67">
        <f>+BS!H3</f>
        <v>0</v>
      </c>
      <c r="G3" s="67">
        <f>+BS!I3</f>
        <v>0</v>
      </c>
      <c r="H3" s="67">
        <f>+BS!J3</f>
        <v>0</v>
      </c>
      <c r="I3" s="67">
        <f>+BS!K3</f>
        <v>0</v>
      </c>
      <c r="J3" s="67">
        <f>+BS!L3</f>
        <v>0</v>
      </c>
      <c r="K3" s="67">
        <f>+BS!M3</f>
        <v>0</v>
      </c>
      <c r="L3" s="67">
        <f>+BS!N3</f>
        <v>0</v>
      </c>
      <c r="M3" s="67">
        <f>+BS!O3</f>
        <v>0</v>
      </c>
      <c r="N3" s="67">
        <f>+BS!P3</f>
        <v>0</v>
      </c>
      <c r="O3" s="67">
        <f>+BS!Q3</f>
        <v>0</v>
      </c>
      <c r="P3" s="67">
        <f>+BS!R3</f>
        <v>0</v>
      </c>
      <c r="Q3" s="67">
        <f>+BS!S3</f>
        <v>0</v>
      </c>
      <c r="R3" s="67">
        <f>+BS!T3</f>
        <v>0</v>
      </c>
      <c r="S3" s="67">
        <f>+BS!U3</f>
        <v>0</v>
      </c>
      <c r="T3" s="67">
        <f>+BS!V3</f>
        <v>0</v>
      </c>
      <c r="U3" s="67">
        <f>+BS!W3</f>
        <v>0</v>
      </c>
      <c r="V3" s="67">
        <f>+BS!X3</f>
        <v>0</v>
      </c>
      <c r="W3" s="67">
        <f>+BS!Y3</f>
        <v>0</v>
      </c>
      <c r="X3" s="67">
        <f>+BS!Z3</f>
        <v>0</v>
      </c>
      <c r="Y3" s="67">
        <f>+BS!AA3</f>
        <v>0</v>
      </c>
      <c r="Z3" s="67">
        <f>+BS!AB3</f>
        <v>0</v>
      </c>
      <c r="AA3" s="67">
        <f>+BS!AC3</f>
        <v>0</v>
      </c>
      <c r="AB3" s="67">
        <f>+BS!AD3</f>
        <v>0</v>
      </c>
      <c r="AC3" s="67">
        <f>+BS!AE3</f>
        <v>0</v>
      </c>
      <c r="AD3" s="67">
        <f>+BS!AF3</f>
        <v>0</v>
      </c>
      <c r="AE3" s="67">
        <f>+BS!AG3</f>
        <v>0</v>
      </c>
      <c r="AF3" s="67">
        <f>+BS!AH3</f>
        <v>0</v>
      </c>
      <c r="AG3" s="67">
        <f>+BS!AI3</f>
        <v>0</v>
      </c>
      <c r="AH3" s="67">
        <f>+BS!AJ3</f>
        <v>0</v>
      </c>
      <c r="AI3" s="67">
        <f>+BS!AK3</f>
        <v>0</v>
      </c>
      <c r="AJ3" s="67">
        <f>+BS!AL3</f>
        <v>0</v>
      </c>
      <c r="AK3" s="67">
        <f>+BS!AM3</f>
        <v>0</v>
      </c>
      <c r="AL3" s="67">
        <f>+BS!AN3</f>
        <v>0</v>
      </c>
      <c r="AM3" s="67"/>
      <c r="AN3" s="67"/>
      <c r="AO3" s="67"/>
    </row>
    <row r="4" spans="1:41" s="11" customFormat="1" ht="15">
      <c r="A4" s="65"/>
      <c r="B4" s="124" t="s">
        <v>534</v>
      </c>
      <c r="C4" s="163">
        <f>'Revenue &amp; COGS Building'!O12</f>
        <v>46053</v>
      </c>
      <c r="D4" s="163">
        <f>'Revenue &amp; COGS Building'!P12</f>
        <v>46054</v>
      </c>
      <c r="E4" s="163">
        <f>'Revenue &amp; COGS Building'!Q12</f>
        <v>46082</v>
      </c>
      <c r="F4" s="163">
        <f>'Revenue &amp; COGS Building'!R12</f>
        <v>46113</v>
      </c>
      <c r="G4" s="163">
        <f>'Revenue &amp; COGS Building'!S12</f>
        <v>46143</v>
      </c>
      <c r="H4" s="163">
        <f>'Revenue &amp; COGS Building'!T12</f>
        <v>46174</v>
      </c>
      <c r="I4" s="163">
        <f>'Revenue &amp; COGS Building'!U12</f>
        <v>46204</v>
      </c>
      <c r="J4" s="163">
        <f>'Revenue &amp; COGS Building'!V12</f>
        <v>46235</v>
      </c>
      <c r="K4" s="163">
        <f>'Revenue &amp; COGS Building'!W12</f>
        <v>46266</v>
      </c>
      <c r="L4" s="163">
        <f>'Revenue &amp; COGS Building'!X12</f>
        <v>46296</v>
      </c>
      <c r="M4" s="163">
        <f>'Revenue &amp; COGS Building'!Y12</f>
        <v>46327</v>
      </c>
      <c r="N4" s="163">
        <f>'Revenue &amp; COGS Building'!Z12</f>
        <v>46357</v>
      </c>
      <c r="O4" s="163">
        <f>'Revenue &amp; COGS Building'!AA12</f>
        <v>46388</v>
      </c>
      <c r="P4" s="163">
        <f>'Revenue &amp; COGS Building'!AB12</f>
        <v>46419</v>
      </c>
      <c r="Q4" s="163">
        <f>'Revenue &amp; COGS Building'!AC12</f>
        <v>46447</v>
      </c>
      <c r="R4" s="163">
        <f>'Revenue &amp; COGS Building'!AD12</f>
        <v>46478</v>
      </c>
      <c r="S4" s="163">
        <f>'Revenue &amp; COGS Building'!AE12</f>
        <v>46508</v>
      </c>
      <c r="T4" s="163">
        <f>'Revenue &amp; COGS Building'!AF12</f>
        <v>46539</v>
      </c>
      <c r="U4" s="163">
        <f>'Revenue &amp; COGS Building'!AG12</f>
        <v>46569</v>
      </c>
      <c r="V4" s="163">
        <f>'Revenue &amp; COGS Building'!AH12</f>
        <v>46600</v>
      </c>
      <c r="W4" s="163">
        <f>'Revenue &amp; COGS Building'!AI12</f>
        <v>46631</v>
      </c>
      <c r="X4" s="163">
        <f>'Revenue &amp; COGS Building'!AJ12</f>
        <v>46661</v>
      </c>
      <c r="Y4" s="163">
        <f>'Revenue &amp; COGS Building'!AK12</f>
        <v>46692</v>
      </c>
      <c r="Z4" s="163">
        <f>'Revenue &amp; COGS Building'!AL12</f>
        <v>46722</v>
      </c>
      <c r="AA4" s="163">
        <f>'Revenue &amp; COGS Building'!AM12</f>
        <v>46753</v>
      </c>
      <c r="AB4" s="163">
        <f>'Revenue &amp; COGS Building'!AN12</f>
        <v>46784</v>
      </c>
      <c r="AC4" s="163">
        <f>'Revenue &amp; COGS Building'!AO12</f>
        <v>46813</v>
      </c>
      <c r="AD4" s="163">
        <f>'Revenue &amp; COGS Building'!AP12</f>
        <v>46844</v>
      </c>
      <c r="AE4" s="163">
        <f>'Revenue &amp; COGS Building'!AQ12</f>
        <v>46874</v>
      </c>
      <c r="AF4" s="163">
        <f>'Revenue &amp; COGS Building'!AR12</f>
        <v>46905</v>
      </c>
      <c r="AG4" s="163">
        <f>'Revenue &amp; COGS Building'!AS12</f>
        <v>46935</v>
      </c>
      <c r="AH4" s="163">
        <f>'Revenue &amp; COGS Building'!AT12</f>
        <v>46966</v>
      </c>
      <c r="AI4" s="163">
        <f>'Revenue &amp; COGS Building'!AU12</f>
        <v>46997</v>
      </c>
      <c r="AJ4" s="163">
        <f>'Revenue &amp; COGS Building'!AV12</f>
        <v>47027</v>
      </c>
      <c r="AK4" s="163">
        <f>'Revenue &amp; COGS Building'!AW12</f>
        <v>47058</v>
      </c>
      <c r="AL4" s="163">
        <f>'Revenue &amp; COGS Building'!AX12</f>
        <v>47088</v>
      </c>
      <c r="AM4" s="163"/>
      <c r="AN4" s="163"/>
      <c r="AO4" s="163"/>
    </row>
    <row r="5" spans="1:41" s="11" customFormat="1" ht="15">
      <c r="A5" s="65"/>
      <c r="B5" s="124" t="s">
        <v>532</v>
      </c>
      <c r="C5" s="428">
        <f>'Revenue &amp; COGS Building'!O13</f>
        <v>1</v>
      </c>
      <c r="D5" s="428">
        <f>'Revenue &amp; COGS Building'!P13</f>
        <v>2</v>
      </c>
      <c r="E5" s="428">
        <f>'Revenue &amp; COGS Building'!Q13</f>
        <v>3</v>
      </c>
      <c r="F5" s="428">
        <f>'Revenue &amp; COGS Building'!R13</f>
        <v>4</v>
      </c>
      <c r="G5" s="428">
        <f>'Revenue &amp; COGS Building'!S13</f>
        <v>5</v>
      </c>
      <c r="H5" s="428">
        <f>'Revenue &amp; COGS Building'!T13</f>
        <v>6</v>
      </c>
      <c r="I5" s="428">
        <f>'Revenue &amp; COGS Building'!U13</f>
        <v>7</v>
      </c>
      <c r="J5" s="428">
        <f>'Revenue &amp; COGS Building'!V13</f>
        <v>8</v>
      </c>
      <c r="K5" s="428">
        <f>'Revenue &amp; COGS Building'!W13</f>
        <v>9</v>
      </c>
      <c r="L5" s="428">
        <f>'Revenue &amp; COGS Building'!X13</f>
        <v>10</v>
      </c>
      <c r="M5" s="428">
        <f>'Revenue &amp; COGS Building'!Y13</f>
        <v>11</v>
      </c>
      <c r="N5" s="428">
        <f>'Revenue &amp; COGS Building'!Z13</f>
        <v>12</v>
      </c>
      <c r="O5" s="428">
        <f>'Revenue &amp; COGS Building'!AA13</f>
        <v>13</v>
      </c>
      <c r="P5" s="428">
        <f>'Revenue &amp; COGS Building'!AB13</f>
        <v>14</v>
      </c>
      <c r="Q5" s="428">
        <f>'Revenue &amp; COGS Building'!AC13</f>
        <v>15</v>
      </c>
      <c r="R5" s="428">
        <f>'Revenue &amp; COGS Building'!AD13</f>
        <v>16</v>
      </c>
      <c r="S5" s="428">
        <f>'Revenue &amp; COGS Building'!AE13</f>
        <v>17</v>
      </c>
      <c r="T5" s="428">
        <f>'Revenue &amp; COGS Building'!AF13</f>
        <v>18</v>
      </c>
      <c r="U5" s="428">
        <f>'Revenue &amp; COGS Building'!AG13</f>
        <v>19</v>
      </c>
      <c r="V5" s="428">
        <f>'Revenue &amp; COGS Building'!AH13</f>
        <v>20</v>
      </c>
      <c r="W5" s="428">
        <f>'Revenue &amp; COGS Building'!AI13</f>
        <v>21</v>
      </c>
      <c r="X5" s="428">
        <f>'Revenue &amp; COGS Building'!AJ13</f>
        <v>22</v>
      </c>
      <c r="Y5" s="428">
        <f>'Revenue &amp; COGS Building'!AK13</f>
        <v>23</v>
      </c>
      <c r="Z5" s="428">
        <f>'Revenue &amp; COGS Building'!AL13</f>
        <v>24</v>
      </c>
      <c r="AA5" s="428">
        <f>'Revenue &amp; COGS Building'!AM13</f>
        <v>25</v>
      </c>
      <c r="AB5" s="428">
        <f>'Revenue &amp; COGS Building'!AN13</f>
        <v>26</v>
      </c>
      <c r="AC5" s="428">
        <f>'Revenue &amp; COGS Building'!AO13</f>
        <v>27</v>
      </c>
      <c r="AD5" s="428">
        <f>'Revenue &amp; COGS Building'!AP13</f>
        <v>28</v>
      </c>
      <c r="AE5" s="428">
        <f>'Revenue &amp; COGS Building'!AQ13</f>
        <v>29</v>
      </c>
      <c r="AF5" s="428">
        <f>'Revenue &amp; COGS Building'!AR13</f>
        <v>30</v>
      </c>
      <c r="AG5" s="428">
        <f>'Revenue &amp; COGS Building'!AS13</f>
        <v>31</v>
      </c>
      <c r="AH5" s="428">
        <f>'Revenue &amp; COGS Building'!AT13</f>
        <v>32</v>
      </c>
      <c r="AI5" s="428">
        <f>'Revenue &amp; COGS Building'!AU13</f>
        <v>33</v>
      </c>
      <c r="AJ5" s="428">
        <f>'Revenue &amp; COGS Building'!AV13</f>
        <v>34</v>
      </c>
      <c r="AK5" s="428">
        <f>'Revenue &amp; COGS Building'!AW13</f>
        <v>35</v>
      </c>
      <c r="AL5" s="428">
        <f>'Revenue &amp; COGS Building'!AX13</f>
        <v>36</v>
      </c>
      <c r="AM5" s="438"/>
      <c r="AN5" s="438"/>
      <c r="AO5" s="438"/>
    </row>
    <row r="6" spans="1:41" s="11" customFormat="1" ht="15">
      <c r="A6" s="65"/>
      <c r="B6" s="124" t="s">
        <v>533</v>
      </c>
      <c r="C6" s="428">
        <f>'Revenue &amp; COGS Building'!O14</f>
        <v>1</v>
      </c>
      <c r="D6" s="428">
        <f>'Revenue &amp; COGS Building'!P14</f>
        <v>1</v>
      </c>
      <c r="E6" s="428">
        <f>'Revenue &amp; COGS Building'!Q14</f>
        <v>1</v>
      </c>
      <c r="F6" s="428">
        <f>'Revenue &amp; COGS Building'!R14</f>
        <v>1</v>
      </c>
      <c r="G6" s="428">
        <f>'Revenue &amp; COGS Building'!S14</f>
        <v>1</v>
      </c>
      <c r="H6" s="428">
        <f>'Revenue &amp; COGS Building'!T14</f>
        <v>1</v>
      </c>
      <c r="I6" s="428">
        <f>'Revenue &amp; COGS Building'!U14</f>
        <v>1</v>
      </c>
      <c r="J6" s="428">
        <f>'Revenue &amp; COGS Building'!V14</f>
        <v>1</v>
      </c>
      <c r="K6" s="428">
        <f>'Revenue &amp; COGS Building'!W14</f>
        <v>1</v>
      </c>
      <c r="L6" s="428">
        <f>'Revenue &amp; COGS Building'!X14</f>
        <v>1</v>
      </c>
      <c r="M6" s="428">
        <f>'Revenue &amp; COGS Building'!Y14</f>
        <v>1</v>
      </c>
      <c r="N6" s="428">
        <f>'Revenue &amp; COGS Building'!Z14</f>
        <v>1</v>
      </c>
      <c r="O6" s="428">
        <f>'Revenue &amp; COGS Building'!AA14</f>
        <v>2</v>
      </c>
      <c r="P6" s="428">
        <f>'Revenue &amp; COGS Building'!AB14</f>
        <v>2</v>
      </c>
      <c r="Q6" s="428">
        <f>'Revenue &amp; COGS Building'!AC14</f>
        <v>2</v>
      </c>
      <c r="R6" s="428">
        <f>'Revenue &amp; COGS Building'!AD14</f>
        <v>2</v>
      </c>
      <c r="S6" s="428">
        <f>'Revenue &amp; COGS Building'!AE14</f>
        <v>2</v>
      </c>
      <c r="T6" s="428">
        <f>'Revenue &amp; COGS Building'!AF14</f>
        <v>2</v>
      </c>
      <c r="U6" s="428">
        <f>'Revenue &amp; COGS Building'!AG14</f>
        <v>2</v>
      </c>
      <c r="V6" s="428">
        <f>'Revenue &amp; COGS Building'!AH14</f>
        <v>2</v>
      </c>
      <c r="W6" s="428">
        <f>'Revenue &amp; COGS Building'!AI14</f>
        <v>2</v>
      </c>
      <c r="X6" s="428">
        <f>'Revenue &amp; COGS Building'!AJ14</f>
        <v>2</v>
      </c>
      <c r="Y6" s="428">
        <f>'Revenue &amp; COGS Building'!AK14</f>
        <v>2</v>
      </c>
      <c r="Z6" s="428">
        <f>'Revenue &amp; COGS Building'!AL14</f>
        <v>2</v>
      </c>
      <c r="AA6" s="428">
        <f>'Revenue &amp; COGS Building'!AM14</f>
        <v>3</v>
      </c>
      <c r="AB6" s="428">
        <f>'Revenue &amp; COGS Building'!AN14</f>
        <v>3</v>
      </c>
      <c r="AC6" s="428">
        <f>'Revenue &amp; COGS Building'!AO14</f>
        <v>3</v>
      </c>
      <c r="AD6" s="428">
        <f>'Revenue &amp; COGS Building'!AP14</f>
        <v>3</v>
      </c>
      <c r="AE6" s="428">
        <f>'Revenue &amp; COGS Building'!AQ14</f>
        <v>3</v>
      </c>
      <c r="AF6" s="428">
        <f>'Revenue &amp; COGS Building'!AR14</f>
        <v>3</v>
      </c>
      <c r="AG6" s="428">
        <f>'Revenue &amp; COGS Building'!AS14</f>
        <v>3</v>
      </c>
      <c r="AH6" s="428">
        <f>'Revenue &amp; COGS Building'!AT14</f>
        <v>3</v>
      </c>
      <c r="AI6" s="428">
        <f>'Revenue &amp; COGS Building'!AU14</f>
        <v>3</v>
      </c>
      <c r="AJ6" s="428">
        <f>'Revenue &amp; COGS Building'!AV14</f>
        <v>3</v>
      </c>
      <c r="AK6" s="428">
        <f>'Revenue &amp; COGS Building'!AW14</f>
        <v>3</v>
      </c>
      <c r="AL6" s="428">
        <f>'Revenue &amp; COGS Building'!AX14</f>
        <v>3</v>
      </c>
      <c r="AM6" s="438"/>
      <c r="AN6" s="438"/>
      <c r="AO6" s="438"/>
    </row>
    <row r="7" spans="1:41" s="11" customFormat="1" ht="15">
      <c r="A7" s="65"/>
      <c r="B7" s="124" t="s">
        <v>535</v>
      </c>
      <c r="C7" s="164">
        <f>'Revenue &amp; COGS Building'!O15</f>
        <v>2026</v>
      </c>
      <c r="D7" s="164">
        <f>'Revenue &amp; COGS Building'!P15</f>
        <v>2026</v>
      </c>
      <c r="E7" s="164">
        <f>'Revenue &amp; COGS Building'!Q15</f>
        <v>2026</v>
      </c>
      <c r="F7" s="164">
        <f>'Revenue &amp; COGS Building'!R15</f>
        <v>2026</v>
      </c>
      <c r="G7" s="164">
        <f>'Revenue &amp; COGS Building'!S15</f>
        <v>2026</v>
      </c>
      <c r="H7" s="164">
        <f>'Revenue &amp; COGS Building'!T15</f>
        <v>2026</v>
      </c>
      <c r="I7" s="164">
        <f>'Revenue &amp; COGS Building'!U15</f>
        <v>2026</v>
      </c>
      <c r="J7" s="164">
        <f>'Revenue &amp; COGS Building'!V15</f>
        <v>2026</v>
      </c>
      <c r="K7" s="164">
        <f>'Revenue &amp; COGS Building'!W15</f>
        <v>2026</v>
      </c>
      <c r="L7" s="164">
        <f>'Revenue &amp; COGS Building'!X15</f>
        <v>2026</v>
      </c>
      <c r="M7" s="164">
        <f>'Revenue &amp; COGS Building'!Y15</f>
        <v>2026</v>
      </c>
      <c r="N7" s="164">
        <f>'Revenue &amp; COGS Building'!Z15</f>
        <v>2026</v>
      </c>
      <c r="O7" s="164">
        <f>'Revenue &amp; COGS Building'!AA15</f>
        <v>2027</v>
      </c>
      <c r="P7" s="164">
        <f>'Revenue &amp; COGS Building'!AB15</f>
        <v>2027</v>
      </c>
      <c r="Q7" s="164">
        <f>'Revenue &amp; COGS Building'!AC15</f>
        <v>2027</v>
      </c>
      <c r="R7" s="164">
        <f>'Revenue &amp; COGS Building'!AD15</f>
        <v>2027</v>
      </c>
      <c r="S7" s="164">
        <f>'Revenue &amp; COGS Building'!AE15</f>
        <v>2027</v>
      </c>
      <c r="T7" s="164">
        <f>'Revenue &amp; COGS Building'!AF15</f>
        <v>2027</v>
      </c>
      <c r="U7" s="164">
        <f>'Revenue &amp; COGS Building'!AG15</f>
        <v>2027</v>
      </c>
      <c r="V7" s="164">
        <f>'Revenue &amp; COGS Building'!AH15</f>
        <v>2027</v>
      </c>
      <c r="W7" s="164">
        <f>'Revenue &amp; COGS Building'!AI15</f>
        <v>2027</v>
      </c>
      <c r="X7" s="164">
        <f>'Revenue &amp; COGS Building'!AJ15</f>
        <v>2027</v>
      </c>
      <c r="Y7" s="164">
        <f>'Revenue &amp; COGS Building'!AK15</f>
        <v>2027</v>
      </c>
      <c r="Z7" s="164">
        <f>'Revenue &amp; COGS Building'!AL15</f>
        <v>2027</v>
      </c>
      <c r="AA7" s="164">
        <f>'Revenue &amp; COGS Building'!AM15</f>
        <v>2028</v>
      </c>
      <c r="AB7" s="164">
        <f>'Revenue &amp; COGS Building'!AN15</f>
        <v>2028</v>
      </c>
      <c r="AC7" s="164">
        <f>'Revenue &amp; COGS Building'!AO15</f>
        <v>2028</v>
      </c>
      <c r="AD7" s="164">
        <f>'Revenue &amp; COGS Building'!AP15</f>
        <v>2028</v>
      </c>
      <c r="AE7" s="164">
        <f>'Revenue &amp; COGS Building'!AQ15</f>
        <v>2028</v>
      </c>
      <c r="AF7" s="164">
        <f>'Revenue &amp; COGS Building'!AR15</f>
        <v>2028</v>
      </c>
      <c r="AG7" s="164">
        <f>'Revenue &amp; COGS Building'!AS15</f>
        <v>2028</v>
      </c>
      <c r="AH7" s="164">
        <f>'Revenue &amp; COGS Building'!AT15</f>
        <v>2028</v>
      </c>
      <c r="AI7" s="164">
        <f>'Revenue &amp; COGS Building'!AU15</f>
        <v>2028</v>
      </c>
      <c r="AJ7" s="164">
        <f>'Revenue &amp; COGS Building'!AV15</f>
        <v>2028</v>
      </c>
      <c r="AK7" s="164">
        <f>'Revenue &amp; COGS Building'!AW15</f>
        <v>2028</v>
      </c>
      <c r="AL7" s="164">
        <f>'Revenue &amp; COGS Building'!AX15</f>
        <v>2028</v>
      </c>
      <c r="AM7" s="164"/>
      <c r="AN7" s="164"/>
      <c r="AO7" s="164"/>
    </row>
    <row r="8" spans="1:41" s="11" customFormat="1" ht="15">
      <c r="A8" s="65"/>
      <c r="B8" s="124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</row>
    <row r="9" spans="1:41" s="11" customFormat="1" ht="15">
      <c r="A9" s="65"/>
      <c r="B9" s="109" t="s">
        <v>42</v>
      </c>
      <c r="C9" s="492">
        <f>+PL!E37</f>
        <v>-165459.88398321456</v>
      </c>
      <c r="D9" s="492">
        <f>+PL!F37</f>
        <v>-163464.8869828803</v>
      </c>
      <c r="E9" s="492">
        <f>+PL!G37</f>
        <v>-161469.8899825461</v>
      </c>
      <c r="F9" s="492">
        <f>+PL!H37</f>
        <v>-124752.67075998962</v>
      </c>
      <c r="G9" s="492">
        <f>+PL!I37</f>
        <v>-122757.67375965544</v>
      </c>
      <c r="H9" s="492">
        <f>+PL!J37</f>
        <v>-120764.40073715095</v>
      </c>
      <c r="I9" s="492">
        <f>+PL!K37</f>
        <v>-118771.12771464649</v>
      </c>
      <c r="J9" s="492">
        <f>+PL!L37</f>
        <v>-116777.85469214205</v>
      </c>
      <c r="K9" s="492">
        <f>+PL!M37</f>
        <v>-114834.58166963758</v>
      </c>
      <c r="L9" s="492">
        <f>+PL!N37</f>
        <v>-112791.30864713312</v>
      </c>
      <c r="M9" s="492">
        <f>+PL!O37</f>
        <v>-110798.03562462865</v>
      </c>
      <c r="N9" s="492">
        <f>+PL!P37</f>
        <v>-108804.76260212425</v>
      </c>
      <c r="O9" s="492">
        <f>+PL!Q37</f>
        <v>-217543.74767023177</v>
      </c>
      <c r="P9" s="492">
        <f>+PL!R37</f>
        <v>-213909.38484157756</v>
      </c>
      <c r="Q9" s="492">
        <f>+PL!S37</f>
        <v>-209983.35534625672</v>
      </c>
      <c r="R9" s="492">
        <f>+PL!T37</f>
        <v>-206057.32585093586</v>
      </c>
      <c r="S9" s="492">
        <f>+PL!U37</f>
        <v>-202441.61236497329</v>
      </c>
      <c r="T9" s="492">
        <f>+PL!V37</f>
        <v>-199096.7407239305</v>
      </c>
      <c r="U9" s="492">
        <f>+PL!W37</f>
        <v>-195751.86908288774</v>
      </c>
      <c r="V9" s="492">
        <f>+PL!X37</f>
        <v>-192406.99744184493</v>
      </c>
      <c r="W9" s="492">
        <f>+PL!Y37</f>
        <v>-189063.84977863196</v>
      </c>
      <c r="X9" s="492">
        <f>+PL!Z37</f>
        <v>-185720.70211541897</v>
      </c>
      <c r="Y9" s="492">
        <f>+PL!AA37</f>
        <v>-182377.55445220592</v>
      </c>
      <c r="Z9" s="492">
        <f>+PL!AB37</f>
        <v>-179034.40678899287</v>
      </c>
      <c r="AA9" s="492">
        <f>+PL!AC37</f>
        <v>-174746.00734052144</v>
      </c>
      <c r="AB9" s="492">
        <f>+PL!AD37</f>
        <v>-170099.95111280304</v>
      </c>
      <c r="AC9" s="492">
        <f>+PL!AE37</f>
        <v>-165453.89488508465</v>
      </c>
      <c r="AD9" s="492">
        <f>+PL!AF37</f>
        <v>-160807.83865736643</v>
      </c>
      <c r="AE9" s="492">
        <f>+PL!AG37</f>
        <v>-156161.78242964795</v>
      </c>
      <c r="AF9" s="492">
        <f>+PL!AH37</f>
        <v>-151515.72620192959</v>
      </c>
      <c r="AG9" s="492">
        <f>+PL!AI37</f>
        <v>-146871.39395204102</v>
      </c>
      <c r="AH9" s="492">
        <f>+PL!AJ37</f>
        <v>-142227.06170215248</v>
      </c>
      <c r="AI9" s="492">
        <f>+PL!AK37</f>
        <v>-137582.72945226385</v>
      </c>
      <c r="AJ9" s="492">
        <f>+PL!AL37</f>
        <v>-132938.39720237523</v>
      </c>
      <c r="AK9" s="492">
        <f>+PL!AM37</f>
        <v>-128294.06495248669</v>
      </c>
      <c r="AL9" s="492">
        <f>+PL!AN37</f>
        <v>-123649.73270259812</v>
      </c>
      <c r="AM9" s="118"/>
      <c r="AN9" s="118"/>
      <c r="AO9" s="118"/>
    </row>
    <row r="10" spans="1:41" s="11" customFormat="1" ht="15">
      <c r="A10" s="65"/>
      <c r="B10" s="62"/>
      <c r="C10" s="117"/>
      <c r="D10" s="117"/>
      <c r="E10" s="117"/>
      <c r="F10" s="117"/>
      <c r="G10" s="117"/>
      <c r="H10" s="121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</row>
    <row r="11" spans="1:41" s="11" customFormat="1" ht="15">
      <c r="A11" s="65"/>
      <c r="B11" s="105" t="s">
        <v>33</v>
      </c>
      <c r="C11" s="442">
        <f>+PL!E27</f>
        <v>29</v>
      </c>
      <c r="D11" s="442">
        <f>+PL!F27</f>
        <v>29</v>
      </c>
      <c r="E11" s="442">
        <f>+PL!G27</f>
        <v>29</v>
      </c>
      <c r="F11" s="442">
        <f>+PL!H27</f>
        <v>29</v>
      </c>
      <c r="G11" s="442">
        <f>+PL!I27</f>
        <v>29</v>
      </c>
      <c r="H11" s="442">
        <f>+PL!J27</f>
        <v>29</v>
      </c>
      <c r="I11" s="442">
        <f>+PL!K27</f>
        <v>29</v>
      </c>
      <c r="J11" s="442">
        <f>+PL!L27</f>
        <v>29</v>
      </c>
      <c r="K11" s="442">
        <f>+PL!M27</f>
        <v>29</v>
      </c>
      <c r="L11" s="442">
        <f>+PL!N27</f>
        <v>29</v>
      </c>
      <c r="M11" s="442">
        <f>+PL!O27</f>
        <v>29</v>
      </c>
      <c r="N11" s="442">
        <f>+PL!P27</f>
        <v>29</v>
      </c>
      <c r="O11" s="442">
        <f>+PL!Q27</f>
        <v>29</v>
      </c>
      <c r="P11" s="442">
        <f>+PL!R27</f>
        <v>320.66666666666669</v>
      </c>
      <c r="Q11" s="442">
        <f>+PL!S27</f>
        <v>320.66666666666669</v>
      </c>
      <c r="R11" s="442">
        <f>+PL!T27</f>
        <v>320.66666666666669</v>
      </c>
      <c r="S11" s="442">
        <f>+PL!U27</f>
        <v>320.66666666666669</v>
      </c>
      <c r="T11" s="442">
        <f>+PL!V27</f>
        <v>320.66666666666669</v>
      </c>
      <c r="U11" s="442">
        <f>+PL!W27</f>
        <v>320.66666666666669</v>
      </c>
      <c r="V11" s="442">
        <f>+PL!X27</f>
        <v>320.66666666666669</v>
      </c>
      <c r="W11" s="442">
        <f>+PL!Y27</f>
        <v>320.66666666666669</v>
      </c>
      <c r="X11" s="442">
        <f>+PL!Z27</f>
        <v>320.66666666666669</v>
      </c>
      <c r="Y11" s="442">
        <f>+PL!AA27</f>
        <v>320.66666666666669</v>
      </c>
      <c r="Z11" s="442">
        <f>+PL!AB27</f>
        <v>320.66666666666669</v>
      </c>
      <c r="AA11" s="442">
        <f>+PL!AC27</f>
        <v>1654</v>
      </c>
      <c r="AB11" s="442">
        <f>+PL!AD27</f>
        <v>1654</v>
      </c>
      <c r="AC11" s="442">
        <f>+PL!AE27</f>
        <v>1654</v>
      </c>
      <c r="AD11" s="442">
        <f>+PL!AF27</f>
        <v>1654</v>
      </c>
      <c r="AE11" s="442">
        <f>+PL!AG27</f>
        <v>1654</v>
      </c>
      <c r="AF11" s="442">
        <f>+PL!AH27</f>
        <v>1654</v>
      </c>
      <c r="AG11" s="442">
        <f>+PL!AI27</f>
        <v>1654</v>
      </c>
      <c r="AH11" s="442">
        <f>+PL!AJ27</f>
        <v>1654</v>
      </c>
      <c r="AI11" s="442">
        <f>+PL!AK27</f>
        <v>1654</v>
      </c>
      <c r="AJ11" s="442">
        <f>+PL!AL27</f>
        <v>1654</v>
      </c>
      <c r="AK11" s="442">
        <f>+PL!AM27</f>
        <v>1654</v>
      </c>
      <c r="AL11" s="442">
        <f>+PL!AN27</f>
        <v>1654</v>
      </c>
      <c r="AM11" s="118"/>
      <c r="AN11" s="118"/>
      <c r="AO11" s="118"/>
    </row>
    <row r="12" spans="1:41" s="11" customFormat="1" ht="15">
      <c r="A12" s="65"/>
      <c r="B12" s="105" t="s">
        <v>330</v>
      </c>
      <c r="C12" s="442">
        <f>+OTH!F10</f>
        <v>21.969696969696972</v>
      </c>
      <c r="D12" s="442">
        <f>+OTH!G10</f>
        <v>29.446969696969699</v>
      </c>
      <c r="E12" s="442">
        <f>+OTH!H10</f>
        <v>36.924242424242422</v>
      </c>
      <c r="F12" s="442">
        <f>+OTH!I10</f>
        <v>44.401515151515149</v>
      </c>
      <c r="G12" s="442">
        <f>+OTH!J10</f>
        <v>51.878787878787875</v>
      </c>
      <c r="H12" s="442">
        <f>+OTH!K10</f>
        <v>59.348484848484851</v>
      </c>
      <c r="I12" s="442">
        <f>+OTH!L10</f>
        <v>66.818181818181813</v>
      </c>
      <c r="J12" s="442">
        <f>+OTH!M10</f>
        <v>74.287878787878796</v>
      </c>
      <c r="K12" s="442">
        <f>+OTH!N10</f>
        <v>81.757575757575751</v>
      </c>
      <c r="L12" s="442">
        <f>+OTH!O10</f>
        <v>89.227272727272734</v>
      </c>
      <c r="M12" s="442">
        <f>+OTH!P10</f>
        <v>96.696969696969703</v>
      </c>
      <c r="N12" s="442">
        <f>+OTH!Q10</f>
        <v>104.16666666666666</v>
      </c>
      <c r="O12" s="442">
        <f>+OTH!R10</f>
        <v>177.90909090909091</v>
      </c>
      <c r="P12" s="442">
        <f>+OTH!S10</f>
        <v>193.22727272727272</v>
      </c>
      <c r="Q12" s="442">
        <f>+OTH!T10</f>
        <v>208.54545454545453</v>
      </c>
      <c r="R12" s="442">
        <f>+OTH!U10</f>
        <v>223.86363636363637</v>
      </c>
      <c r="S12" s="442">
        <f>+OTH!V10</f>
        <v>237.81818181818181</v>
      </c>
      <c r="T12" s="442">
        <f>+OTH!W10</f>
        <v>251.22727272727272</v>
      </c>
      <c r="U12" s="442">
        <f>+OTH!X10</f>
        <v>264.63636363636363</v>
      </c>
      <c r="V12" s="442">
        <f>+OTH!Y10</f>
        <v>278.04545454545456</v>
      </c>
      <c r="W12" s="442">
        <f>+OTH!Z10</f>
        <v>291.44696969696969</v>
      </c>
      <c r="X12" s="442">
        <f>+OTH!AA10</f>
        <v>304.84848484848482</v>
      </c>
      <c r="Y12" s="442">
        <f>+OTH!AB10</f>
        <v>318.25</v>
      </c>
      <c r="Z12" s="442">
        <f>+OTH!AC10</f>
        <v>331.65151515151518</v>
      </c>
      <c r="AA12" s="442">
        <f>+OTH!AD10</f>
        <v>373.96212121212119</v>
      </c>
      <c r="AB12" s="442">
        <f>+OTH!AE10</f>
        <v>391.47727272727275</v>
      </c>
      <c r="AC12" s="442">
        <f>+OTH!AF10</f>
        <v>408.99242424242425</v>
      </c>
      <c r="AD12" s="442">
        <f>+OTH!AG10</f>
        <v>426.50757575757575</v>
      </c>
      <c r="AE12" s="442">
        <f>+OTH!AH10</f>
        <v>444.02272727272725</v>
      </c>
      <c r="AF12" s="442">
        <f>+OTH!AI10</f>
        <v>461.53787878787881</v>
      </c>
      <c r="AG12" s="442">
        <f>+OTH!AJ10</f>
        <v>479.04545454545456</v>
      </c>
      <c r="AH12" s="442">
        <f>+OTH!AK10</f>
        <v>496.55303030303031</v>
      </c>
      <c r="AI12" s="442">
        <f>+OTH!AL10</f>
        <v>514.06060606060601</v>
      </c>
      <c r="AJ12" s="442">
        <f>+OTH!AM10</f>
        <v>531.56818181818187</v>
      </c>
      <c r="AK12" s="442">
        <f>+OTH!AN10</f>
        <v>549.07575757575762</v>
      </c>
      <c r="AL12" s="442">
        <f>+OTH!AO10</f>
        <v>566.58333333333326</v>
      </c>
      <c r="AM12" s="118"/>
      <c r="AN12" s="118"/>
      <c r="AO12" s="118"/>
    </row>
    <row r="13" spans="1:41" s="11" customFormat="1" ht="15">
      <c r="A13" s="65"/>
      <c r="B13" s="105" t="s">
        <v>331</v>
      </c>
      <c r="C13" s="442">
        <f>+OTH!F11</f>
        <v>24.124387254901958</v>
      </c>
      <c r="D13" s="442">
        <f>+OTH!G11</f>
        <v>32.553523284313727</v>
      </c>
      <c r="E13" s="442">
        <f>+OTH!H11</f>
        <v>40.982659313725492</v>
      </c>
      <c r="F13" s="442">
        <f>+OTH!I11</f>
        <v>49.411795343137257</v>
      </c>
      <c r="G13" s="442">
        <f>+OTH!J11</f>
        <v>57.840931372549036</v>
      </c>
      <c r="H13" s="442">
        <f>+OTH!K11</f>
        <v>66.2610906862745</v>
      </c>
      <c r="I13" s="442">
        <f>+OTH!L11</f>
        <v>74.681250000000006</v>
      </c>
      <c r="J13" s="442">
        <f>+OTH!M11</f>
        <v>83.101409313725497</v>
      </c>
      <c r="K13" s="442">
        <f>+OTH!N11</f>
        <v>91.521568627450989</v>
      </c>
      <c r="L13" s="442">
        <f>+OTH!O11</f>
        <v>99.941727941176467</v>
      </c>
      <c r="M13" s="442">
        <f>+OTH!P11</f>
        <v>108.36188725490196</v>
      </c>
      <c r="N13" s="442">
        <f>+OTH!Q11</f>
        <v>116.78204656862748</v>
      </c>
      <c r="O13" s="442">
        <f>+OTH!R11</f>
        <v>196.01213235294117</v>
      </c>
      <c r="P13" s="442">
        <f>+OTH!S11</f>
        <v>213.51672794117647</v>
      </c>
      <c r="Q13" s="442">
        <f>+OTH!T11</f>
        <v>231.02132352941177</v>
      </c>
      <c r="R13" s="442">
        <f>+OTH!U11</f>
        <v>248.52591911764705</v>
      </c>
      <c r="S13" s="442">
        <f>+OTH!V11</f>
        <v>264.41470588235296</v>
      </c>
      <c r="T13" s="442">
        <f>+OTH!W11</f>
        <v>279.87261029411764</v>
      </c>
      <c r="U13" s="442">
        <f>+OTH!X11</f>
        <v>295.33051470588236</v>
      </c>
      <c r="V13" s="442">
        <f>+OTH!Y11</f>
        <v>310.78841911764704</v>
      </c>
      <c r="W13" s="442">
        <f>+OTH!Z11</f>
        <v>326.23734681372554</v>
      </c>
      <c r="X13" s="442">
        <f>+OTH!AA11</f>
        <v>341.68627450980392</v>
      </c>
      <c r="Y13" s="442">
        <f>+OTH!AB11</f>
        <v>357.13520220588236</v>
      </c>
      <c r="Z13" s="442">
        <f>+OTH!AC11</f>
        <v>372.58412990196075</v>
      </c>
      <c r="AA13" s="442">
        <f>+OTH!AD11</f>
        <v>411.64188112745103</v>
      </c>
      <c r="AB13" s="442">
        <f>+OTH!AE11</f>
        <v>431.42656249999999</v>
      </c>
      <c r="AC13" s="442">
        <f>+OTH!AF11</f>
        <v>451.21124387254901</v>
      </c>
      <c r="AD13" s="442">
        <f>+OTH!AG11</f>
        <v>470.99592524509814</v>
      </c>
      <c r="AE13" s="442">
        <f>+OTH!AH11</f>
        <v>490.78060661764704</v>
      </c>
      <c r="AF13" s="442">
        <f>+OTH!AI11</f>
        <v>510.56528799019605</v>
      </c>
      <c r="AG13" s="442">
        <f>+OTH!AJ11</f>
        <v>530.34099264705878</v>
      </c>
      <c r="AH13" s="442">
        <f>+OTH!AK11</f>
        <v>550.11669730392168</v>
      </c>
      <c r="AI13" s="442">
        <f>+OTH!AL11</f>
        <v>569.89240196078424</v>
      </c>
      <c r="AJ13" s="442">
        <f>+OTH!AM11</f>
        <v>589.66810661764703</v>
      </c>
      <c r="AK13" s="442">
        <f>+OTH!AN11</f>
        <v>609.44381127450993</v>
      </c>
      <c r="AL13" s="442">
        <f>+OTH!AO11</f>
        <v>629.2195159313726</v>
      </c>
      <c r="AM13" s="118"/>
      <c r="AN13" s="118"/>
      <c r="AO13" s="118"/>
    </row>
    <row r="14" spans="1:41" s="11" customFormat="1" ht="15">
      <c r="A14" s="65"/>
      <c r="B14" s="105" t="s">
        <v>332</v>
      </c>
      <c r="C14" s="442">
        <f>+'TA '!F20+IA!F20</f>
        <v>0</v>
      </c>
      <c r="D14" s="442">
        <f>+'TA '!G20+IA!G20</f>
        <v>0</v>
      </c>
      <c r="E14" s="442">
        <f>+'TA '!H20+IA!H20</f>
        <v>0</v>
      </c>
      <c r="F14" s="442">
        <f>+'TA '!I20+IA!I20</f>
        <v>0</v>
      </c>
      <c r="G14" s="442">
        <f>+'TA '!J20+IA!J20</f>
        <v>0</v>
      </c>
      <c r="H14" s="442">
        <f>+'TA '!K20+IA!K20</f>
        <v>0</v>
      </c>
      <c r="I14" s="442">
        <f>+'TA '!L20+IA!L20</f>
        <v>0</v>
      </c>
      <c r="J14" s="442">
        <f>+'TA '!M20+IA!M20</f>
        <v>0</v>
      </c>
      <c r="K14" s="442">
        <f>+'TA '!N20+IA!N20</f>
        <v>0</v>
      </c>
      <c r="L14" s="442">
        <f>+'TA '!O20+IA!O20</f>
        <v>0</v>
      </c>
      <c r="M14" s="442">
        <f>+'TA '!P20+IA!P20</f>
        <v>0</v>
      </c>
      <c r="N14" s="442">
        <f>+'TA '!Q20+IA!Q20</f>
        <v>0</v>
      </c>
      <c r="O14" s="442">
        <f>+'TA '!R20+IA!R20</f>
        <v>0</v>
      </c>
      <c r="P14" s="442">
        <f>+'TA '!S20+IA!S20</f>
        <v>0</v>
      </c>
      <c r="Q14" s="442">
        <f>+'TA '!T20+IA!T20</f>
        <v>0</v>
      </c>
      <c r="R14" s="442">
        <f>+'TA '!U20+IA!U20</f>
        <v>0</v>
      </c>
      <c r="S14" s="442">
        <f>+'TA '!V20+IA!V20</f>
        <v>0</v>
      </c>
      <c r="T14" s="442">
        <f>+'TA '!W20+IA!W20</f>
        <v>0</v>
      </c>
      <c r="U14" s="442">
        <f>+'TA '!X20+IA!X20</f>
        <v>0</v>
      </c>
      <c r="V14" s="442">
        <f>+'TA '!Y20+IA!Y20</f>
        <v>0</v>
      </c>
      <c r="W14" s="442">
        <f>+'TA '!Z20+IA!Z20</f>
        <v>0</v>
      </c>
      <c r="X14" s="442">
        <f>+'TA '!AA20+IA!AA20</f>
        <v>0</v>
      </c>
      <c r="Y14" s="442">
        <f>+'TA '!AB20+IA!AB20</f>
        <v>0</v>
      </c>
      <c r="Z14" s="442">
        <f>+'TA '!AC20+IA!AC20</f>
        <v>0</v>
      </c>
      <c r="AA14" s="442">
        <f>+'TA '!AD20+IA!AD20</f>
        <v>0</v>
      </c>
      <c r="AB14" s="442">
        <f>+'TA '!AE20+IA!AE20</f>
        <v>0</v>
      </c>
      <c r="AC14" s="442">
        <f>+'TA '!AF20+IA!AF20</f>
        <v>0</v>
      </c>
      <c r="AD14" s="442">
        <f>+'TA '!AG20+IA!AG20</f>
        <v>0</v>
      </c>
      <c r="AE14" s="442">
        <f>+'TA '!AH20+IA!AH20</f>
        <v>0</v>
      </c>
      <c r="AF14" s="442">
        <f>+'TA '!AI20+IA!AI20</f>
        <v>0</v>
      </c>
      <c r="AG14" s="442">
        <f>+'TA '!AJ20+IA!AJ20</f>
        <v>0</v>
      </c>
      <c r="AH14" s="442">
        <f>+'TA '!AK20+IA!AK20</f>
        <v>0</v>
      </c>
      <c r="AI14" s="442">
        <f>+'TA '!AL20+IA!AL20</f>
        <v>0</v>
      </c>
      <c r="AJ14" s="442">
        <f>+'TA '!AM20+IA!AM20</f>
        <v>0</v>
      </c>
      <c r="AK14" s="442">
        <f>+'TA '!AN20+IA!AN20</f>
        <v>0</v>
      </c>
      <c r="AL14" s="442">
        <f>+'TA '!AO20+IA!AO20</f>
        <v>0</v>
      </c>
      <c r="AM14" s="118"/>
      <c r="AN14" s="118"/>
      <c r="AO14" s="118"/>
    </row>
    <row r="15" spans="1:41" s="11" customFormat="1" ht="15">
      <c r="A15" s="65"/>
      <c r="B15" s="105" t="s">
        <v>338</v>
      </c>
      <c r="C15" s="442">
        <f>+'Historicals &amp; Projections'!D9-BS!E11</f>
        <v>413.03661616161617</v>
      </c>
      <c r="D15" s="442">
        <f>+BS!E11-BS!F11</f>
        <v>-29.597537878787875</v>
      </c>
      <c r="E15" s="442">
        <f>+BS!F11-BS!G11</f>
        <v>-29.597537878787861</v>
      </c>
      <c r="F15" s="442">
        <f>+BS!G11-BS!H11</f>
        <v>-29.597537878787875</v>
      </c>
      <c r="G15" s="442">
        <f>+BS!H11-BS!I11</f>
        <v>-29.597537878787875</v>
      </c>
      <c r="H15" s="442">
        <f>+BS!I11-BS!J11</f>
        <v>-29.567550505050548</v>
      </c>
      <c r="I15" s="442">
        <f>+BS!J11-BS!K11</f>
        <v>-29.567550505050491</v>
      </c>
      <c r="J15" s="442">
        <f>+BS!K11-BS!L11</f>
        <v>-29.567550505050519</v>
      </c>
      <c r="K15" s="442">
        <f>+BS!L11-BS!M11</f>
        <v>-29.567550505050463</v>
      </c>
      <c r="L15" s="442">
        <f>+BS!M11-BS!N11</f>
        <v>-29.567550505050519</v>
      </c>
      <c r="M15" s="442">
        <f>+BS!N11-BS!O11</f>
        <v>-29.567550505050519</v>
      </c>
      <c r="N15" s="442">
        <f>+BS!O11-BS!P11</f>
        <v>-29.567550505050463</v>
      </c>
      <c r="O15" s="442">
        <f>+BS!P11-BS!Q11</f>
        <v>-291.89709595959602</v>
      </c>
      <c r="P15" s="442">
        <f>+BS!Q11-BS!R11</f>
        <v>-60.634469696969632</v>
      </c>
      <c r="Q15" s="442">
        <f>+BS!R11-BS!S11</f>
        <v>-60.634469696969745</v>
      </c>
      <c r="R15" s="442">
        <f>+BS!S11-BS!T11</f>
        <v>-60.634469696969745</v>
      </c>
      <c r="S15" s="442">
        <f>+BS!T11-BS!U11</f>
        <v>-55.236742424242379</v>
      </c>
      <c r="T15" s="442">
        <f>+BS!U11-BS!V11</f>
        <v>-53.077651515151501</v>
      </c>
      <c r="U15" s="442">
        <f>+BS!V11-BS!W11</f>
        <v>-53.077651515151615</v>
      </c>
      <c r="V15" s="442">
        <f>+BS!W11-BS!X11</f>
        <v>-53.077651515151501</v>
      </c>
      <c r="W15" s="442">
        <f>+BS!X11-BS!Y11</f>
        <v>-53.047664141414089</v>
      </c>
      <c r="X15" s="442">
        <f>+BS!Y11-BS!Z11</f>
        <v>-53.047664141414089</v>
      </c>
      <c r="Y15" s="442">
        <f>+BS!Z11-BS!AA11</f>
        <v>-53.047664141414089</v>
      </c>
      <c r="Z15" s="442">
        <f>+BS!AA11-BS!AB11</f>
        <v>-53.047664141414316</v>
      </c>
      <c r="AA15" s="442">
        <f>+BS!AB11-BS!AC11</f>
        <v>-167.47948232323211</v>
      </c>
      <c r="AB15" s="442">
        <f>+BS!AC11-BS!AD11</f>
        <v>-69.33080808080831</v>
      </c>
      <c r="AC15" s="442">
        <f>+BS!AD11-BS!AE11</f>
        <v>-69.330808080808083</v>
      </c>
      <c r="AD15" s="442">
        <f>+BS!AE11-BS!AF11</f>
        <v>-69.330808080807856</v>
      </c>
      <c r="AE15" s="442">
        <f>+BS!AF11-BS!AG11</f>
        <v>-69.33080808080831</v>
      </c>
      <c r="AF15" s="442">
        <f>+BS!AG11-BS!AH11</f>
        <v>-69.330808080808083</v>
      </c>
      <c r="AG15" s="442">
        <f>+BS!AH11-BS!AI11</f>
        <v>-69.30082070707067</v>
      </c>
      <c r="AH15" s="442">
        <f>+BS!AI11-BS!AJ11</f>
        <v>-69.300820707070898</v>
      </c>
      <c r="AI15" s="442">
        <f>+BS!AJ11-BS!AK11</f>
        <v>-69.300820707070216</v>
      </c>
      <c r="AJ15" s="442">
        <f>+BS!AK11-BS!AL11</f>
        <v>-69.300820707070898</v>
      </c>
      <c r="AK15" s="442">
        <f>+BS!AL11-BS!AM11</f>
        <v>-69.30082070707067</v>
      </c>
      <c r="AL15" s="442">
        <f>+BS!AM11-BS!AN11</f>
        <v>-69.30082070707067</v>
      </c>
      <c r="AM15" s="118"/>
      <c r="AN15" s="118"/>
      <c r="AO15" s="118"/>
    </row>
    <row r="16" spans="1:41" s="11" customFormat="1" ht="15">
      <c r="A16" s="65"/>
      <c r="B16" s="105" t="s">
        <v>337</v>
      </c>
      <c r="C16" s="442">
        <f>BS!D13-BS!E13-OTH!F10</f>
        <v>100.56818181818181</v>
      </c>
      <c r="D16" s="442">
        <f>BS!E13-BS!F13-OTH!G10</f>
        <v>-38.793560606060609</v>
      </c>
      <c r="E16" s="442">
        <f>BS!F13-BS!G13-OTH!H10</f>
        <v>-46.270833333333329</v>
      </c>
      <c r="F16" s="442">
        <f>BS!G13-BS!H13-OTH!I10</f>
        <v>-53.748106060606055</v>
      </c>
      <c r="G16" s="442">
        <f>BS!H13-BS!I13-OTH!J10</f>
        <v>-61.225378787878789</v>
      </c>
      <c r="H16" s="442">
        <f>BS!I13-BS!J13-OTH!K10</f>
        <v>-68.685606060606062</v>
      </c>
      <c r="I16" s="442">
        <f>BS!J13-BS!K13-OTH!L10</f>
        <v>-76.155303030303017</v>
      </c>
      <c r="J16" s="442">
        <f>BS!K13-BS!L13-OTH!M10</f>
        <v>-83.625000000000014</v>
      </c>
      <c r="K16" s="442">
        <f>BS!L13-BS!M13-OTH!N10</f>
        <v>-91.094696969696955</v>
      </c>
      <c r="L16" s="442">
        <f>BS!M13-BS!N13-OTH!O10</f>
        <v>-98.564393939393952</v>
      </c>
      <c r="M16" s="442">
        <f>BS!N13-BS!O13-OTH!P10</f>
        <v>-106.03409090909092</v>
      </c>
      <c r="N16" s="442">
        <f>BS!O13-BS!P13-OTH!Q10</f>
        <v>-113.50378787878785</v>
      </c>
      <c r="O16" s="442">
        <f>BS!P13-BS!Q13-OTH!R10</f>
        <v>-270.08712121212125</v>
      </c>
      <c r="P16" s="442">
        <f>BS!Q13-BS!R13-OTH!S10</f>
        <v>-212.375</v>
      </c>
      <c r="Q16" s="442">
        <f>BS!R13-BS!S13-OTH!T10</f>
        <v>-227.69318181818181</v>
      </c>
      <c r="R16" s="442">
        <f>BS!S13-BS!T13-OTH!U10</f>
        <v>-243.01136363636363</v>
      </c>
      <c r="S16" s="442">
        <f>BS!T13-BS!U13-OTH!V10</f>
        <v>-255.26136363636363</v>
      </c>
      <c r="T16" s="442">
        <f>BS!U13-BS!V13-OTH!W10</f>
        <v>-267.98863636363637</v>
      </c>
      <c r="U16" s="442">
        <f>BS!V13-BS!W13-OTH!X10</f>
        <v>-281.39772727272725</v>
      </c>
      <c r="V16" s="442">
        <f>BS!W13-BS!X13-OTH!Y10</f>
        <v>-294.80681818181824</v>
      </c>
      <c r="W16" s="442">
        <f>BS!X13-BS!Y13-OTH!Z10</f>
        <v>-308.19886363636363</v>
      </c>
      <c r="X16" s="442">
        <f>BS!Y13-BS!Z13-OTH!AA10</f>
        <v>-321.6003787878787</v>
      </c>
      <c r="Y16" s="442">
        <f>BS!Z13-BS!AA13-OTH!AB10</f>
        <v>-335.00189393939399</v>
      </c>
      <c r="Z16" s="442">
        <f>BS!AA13-BS!AB13-OTH!AC10</f>
        <v>-348.40340909090912</v>
      </c>
      <c r="AA16" s="442">
        <f>BS!AB13-BS!AC13-OTH!AD10</f>
        <v>-426.8503787878787</v>
      </c>
      <c r="AB16" s="442">
        <f>BS!AC13-BS!AD13-OTH!AE10</f>
        <v>-413.37121212121218</v>
      </c>
      <c r="AC16" s="442">
        <f>BS!AD13-BS!AE13-OTH!AF10</f>
        <v>-430.88636363636368</v>
      </c>
      <c r="AD16" s="442">
        <f>BS!AE13-BS!AF13-OTH!AG10</f>
        <v>-448.40151515151507</v>
      </c>
      <c r="AE16" s="442">
        <f>BS!AF13-BS!AG13-OTH!AH10</f>
        <v>-465.91666666666663</v>
      </c>
      <c r="AF16" s="442">
        <f>BS!AG13-BS!AH13-OTH!AI10</f>
        <v>-483.4318181818183</v>
      </c>
      <c r="AG16" s="442">
        <f>BS!AH13-BS!AI13-OTH!AJ10</f>
        <v>-500.92992424242419</v>
      </c>
      <c r="AH16" s="442">
        <f>BS!AI13-BS!AJ13-OTH!AK10</f>
        <v>-518.4375</v>
      </c>
      <c r="AI16" s="442">
        <f>BS!AJ13-BS!AK13-OTH!AL10</f>
        <v>-535.94507575757564</v>
      </c>
      <c r="AJ16" s="442">
        <f>BS!AK13-BS!AL13-OTH!AM10</f>
        <v>-553.45265151515162</v>
      </c>
      <c r="AK16" s="442">
        <f>BS!AL13-BS!AM13-OTH!AN10</f>
        <v>-570.96022727272737</v>
      </c>
      <c r="AL16" s="442">
        <f>BS!AM13-BS!AN13-OTH!AO10</f>
        <v>-588.46780303030289</v>
      </c>
      <c r="AM16" s="118"/>
      <c r="AN16" s="118"/>
      <c r="AO16" s="118"/>
    </row>
    <row r="17" spans="1:41" s="11" customFormat="1" ht="15">
      <c r="A17" s="65"/>
      <c r="B17" s="105" t="s">
        <v>336</v>
      </c>
      <c r="C17" s="442">
        <f>+'Historicals &amp; Projections'!D10-BS!E12-OTH!F11</f>
        <v>225.61647263071896</v>
      </c>
      <c r="D17" s="442">
        <f>+BS!E12-BS!F12-OTH!G11</f>
        <v>-50.114223345588236</v>
      </c>
      <c r="E17" s="442">
        <f>+BS!F12-BS!G12-OTH!H11</f>
        <v>-58.543359375000009</v>
      </c>
      <c r="F17" s="442">
        <f>+BS!G12-BS!H12-OTH!I11</f>
        <v>-66.972495404411774</v>
      </c>
      <c r="G17" s="442">
        <f>+BS!H12-BS!I12-OTH!J11</f>
        <v>-75.401631433823567</v>
      </c>
      <c r="H17" s="442">
        <f>+BS!I12-BS!J12-OTH!K11</f>
        <v>-83.803089256535912</v>
      </c>
      <c r="I17" s="442">
        <f>+BS!J12-BS!K12-OTH!L11</f>
        <v>-92.223248570261433</v>
      </c>
      <c r="J17" s="442">
        <f>+BS!K12-BS!L12-OTH!M11</f>
        <v>-100.64340788398698</v>
      </c>
      <c r="K17" s="442">
        <f>+BS!L12-BS!M12-OTH!N11</f>
        <v>-109.06356719771242</v>
      </c>
      <c r="L17" s="442">
        <f>+BS!M12-BS!N12-OTH!O11</f>
        <v>-117.48372651143789</v>
      </c>
      <c r="M17" s="442">
        <f>+BS!N12-BS!O12-OTH!P11</f>
        <v>-125.90388582516339</v>
      </c>
      <c r="N17" s="442">
        <f>+BS!O12-BS!P12-OTH!Q11</f>
        <v>-134.32404513888901</v>
      </c>
      <c r="O17" s="442">
        <f>+BS!P12-BS!Q12-OTH!R11</f>
        <v>-361.07481107026138</v>
      </c>
      <c r="P17" s="442">
        <f>+BS!Q12-BS!R12-OTH!S11</f>
        <v>-249.98463541666669</v>
      </c>
      <c r="Q17" s="442">
        <f>+BS!R12-BS!S12-OTH!T11</f>
        <v>-267.48923100490197</v>
      </c>
      <c r="R17" s="442">
        <f>+BS!S12-BS!T12-OTH!U11</f>
        <v>-284.99382659313727</v>
      </c>
      <c r="S17" s="442">
        <f>+BS!T12-BS!U12-OTH!V11</f>
        <v>-297.5163449754902</v>
      </c>
      <c r="T17" s="442">
        <f>+BS!U12-BS!V12-OTH!W11</f>
        <v>-312.07657781862736</v>
      </c>
      <c r="U17" s="442">
        <f>+BS!V12-BS!W12-OTH!X11</f>
        <v>-327.5344822303922</v>
      </c>
      <c r="V17" s="442">
        <f>+BS!W12-BS!X12-OTH!Y11</f>
        <v>-342.99238664215687</v>
      </c>
      <c r="W17" s="442">
        <f>+BS!X12-BS!Y12-OTH!Z11</f>
        <v>-358.42261284722241</v>
      </c>
      <c r="X17" s="442">
        <f>+BS!Y12-BS!Z12-OTH!AA11</f>
        <v>-373.87154054330057</v>
      </c>
      <c r="Y17" s="442">
        <f>+BS!Z12-BS!AA12-OTH!AB11</f>
        <v>-389.32046823937901</v>
      </c>
      <c r="Z17" s="442">
        <f>+BS!AA12-BS!AB12-OTH!AC11</f>
        <v>-404.76939593545751</v>
      </c>
      <c r="AA17" s="442">
        <f>+BS!AB12-BS!AC12-OTH!AD11</f>
        <v>-493.01219618055563</v>
      </c>
      <c r="AB17" s="442">
        <f>+BS!AC12-BS!AD12-OTH!AE11</f>
        <v>-472.64464869281045</v>
      </c>
      <c r="AC17" s="442">
        <f>+BS!AD12-BS!AE12-OTH!AF11</f>
        <v>-492.42933006535935</v>
      </c>
      <c r="AD17" s="442">
        <f>+BS!AE12-BS!AF12-OTH!AG11</f>
        <v>-512.21401143790899</v>
      </c>
      <c r="AE17" s="442">
        <f>+BS!AF12-BS!AG12-OTH!AH11</f>
        <v>-531.99869281045721</v>
      </c>
      <c r="AF17" s="442">
        <f>+BS!AG12-BS!AH12-OTH!AI11</f>
        <v>-551.78337418300657</v>
      </c>
      <c r="AG17" s="442">
        <f>+BS!AH12-BS!AI12-OTH!AJ11</f>
        <v>-571.54037734885605</v>
      </c>
      <c r="AH17" s="442">
        <f>+BS!AI12-BS!AJ12-OTH!AK11</f>
        <v>-591.31608200571941</v>
      </c>
      <c r="AI17" s="442">
        <f>+BS!AJ12-BS!AK12-OTH!AL11</f>
        <v>-611.09178666258128</v>
      </c>
      <c r="AJ17" s="442">
        <f>+BS!AK12-BS!AL12-OTH!AM11</f>
        <v>-630.86749131944453</v>
      </c>
      <c r="AK17" s="442">
        <f>+BS!AL12-BS!AM12-OTH!AN11</f>
        <v>-650.64319597630765</v>
      </c>
      <c r="AL17" s="442">
        <f>+BS!AM12-BS!AN12-OTH!AO11</f>
        <v>-670.41890063316987</v>
      </c>
      <c r="AM17" s="118"/>
      <c r="AN17" s="118"/>
      <c r="AO17" s="118"/>
    </row>
    <row r="18" spans="1:41" s="11" customFormat="1" ht="15">
      <c r="A18" s="65"/>
      <c r="B18" s="105" t="s">
        <v>334</v>
      </c>
      <c r="C18" s="442">
        <f>+BS!E23-'Historicals &amp; Projections'!D21</f>
        <v>-304.76677389705884</v>
      </c>
      <c r="D18" s="442">
        <f>+BS!F23-BS!E23</f>
        <v>15.804630055147058</v>
      </c>
      <c r="E18" s="442">
        <f>+BS!G23-BS!F23</f>
        <v>15.804630055147065</v>
      </c>
      <c r="F18" s="442">
        <f>+BS!H23-BS!G23</f>
        <v>15.804630055147072</v>
      </c>
      <c r="G18" s="442">
        <f>+BS!I23-BS!H23</f>
        <v>15.804630055147072</v>
      </c>
      <c r="H18" s="442">
        <f>+BS!J23-BS!I23</f>
        <v>15.787798713235262</v>
      </c>
      <c r="I18" s="442">
        <f>+BS!K23-BS!J23</f>
        <v>15.787798713235318</v>
      </c>
      <c r="J18" s="442">
        <f>+BS!L23-BS!K23</f>
        <v>15.787798713235304</v>
      </c>
      <c r="K18" s="442">
        <f>+BS!M23-BS!L23</f>
        <v>15.787798713235276</v>
      </c>
      <c r="L18" s="442">
        <f>+BS!N23-BS!M23</f>
        <v>15.787798713235304</v>
      </c>
      <c r="M18" s="442">
        <f>+BS!O23-BS!N23</f>
        <v>15.787798713235276</v>
      </c>
      <c r="N18" s="442">
        <f>+BS!P23-BS!O23</f>
        <v>15.787798713235361</v>
      </c>
      <c r="O18" s="442">
        <f>+BS!Q23-BS!P23</f>
        <v>148.5564108455882</v>
      </c>
      <c r="P18" s="442">
        <f>+BS!R23-BS!Q23</f>
        <v>32.82111672794116</v>
      </c>
      <c r="Q18" s="442">
        <f>+BS!S23-BS!R23</f>
        <v>32.821116727941217</v>
      </c>
      <c r="R18" s="442">
        <f>+BS!T23-BS!S23</f>
        <v>32.82111672794116</v>
      </c>
      <c r="S18" s="442">
        <f>+BS!U23-BS!T23</f>
        <v>29.791475183823536</v>
      </c>
      <c r="T18" s="442">
        <f>+BS!V23-BS!U23</f>
        <v>28.983570772058783</v>
      </c>
      <c r="U18" s="442">
        <f>+BS!W23-BS!V23</f>
        <v>28.983570772058897</v>
      </c>
      <c r="V18" s="442">
        <f>+BS!X23-BS!W23</f>
        <v>28.983570772058783</v>
      </c>
      <c r="W18" s="442">
        <f>+BS!Y23-BS!X23</f>
        <v>28.966739430147186</v>
      </c>
      <c r="X18" s="442">
        <f>+BS!Z23-BS!Y23</f>
        <v>28.966739430146959</v>
      </c>
      <c r="Y18" s="442">
        <f>+BS!AA23-BS!Z23</f>
        <v>28.966739430147072</v>
      </c>
      <c r="Z18" s="442">
        <f>+BS!AB23-BS!AA23</f>
        <v>28.966739430146959</v>
      </c>
      <c r="AA18" s="442">
        <f>+BS!AC23-BS!AB23</f>
        <v>73.233283547794258</v>
      </c>
      <c r="AB18" s="442">
        <f>+BS!AD23-BS!AC23</f>
        <v>37.096277573529392</v>
      </c>
      <c r="AC18" s="442">
        <f>+BS!AE23-BS!AD23</f>
        <v>37.096277573529278</v>
      </c>
      <c r="AD18" s="442">
        <f>+BS!AF23-BS!AE23</f>
        <v>37.096277573529733</v>
      </c>
      <c r="AE18" s="442">
        <f>+BS!AG23-BS!AF23</f>
        <v>37.096277573529164</v>
      </c>
      <c r="AF18" s="442">
        <f>+BS!AH23-BS!AG23</f>
        <v>37.096277573529392</v>
      </c>
      <c r="AG18" s="442">
        <f>+BS!AI23-BS!AH23</f>
        <v>37.07944623161768</v>
      </c>
      <c r="AH18" s="442">
        <f>+BS!AJ23-BS!AI23</f>
        <v>37.079446231617794</v>
      </c>
      <c r="AI18" s="442">
        <f>+BS!AK23-BS!AJ23</f>
        <v>37.079446231617567</v>
      </c>
      <c r="AJ18" s="442">
        <f>+BS!AL23-BS!AK23</f>
        <v>37.079446231617567</v>
      </c>
      <c r="AK18" s="442">
        <f>+BS!AM23-BS!AL23</f>
        <v>37.079446231618022</v>
      </c>
      <c r="AL18" s="442">
        <f>+BS!AN23-BS!AM23</f>
        <v>37.079446231617339</v>
      </c>
      <c r="AM18" s="118"/>
      <c r="AN18" s="118"/>
      <c r="AO18" s="118"/>
    </row>
    <row r="19" spans="1:41" s="11" customFormat="1" ht="15">
      <c r="A19" s="65"/>
      <c r="B19" s="105" t="s">
        <v>335</v>
      </c>
      <c r="C19" s="442">
        <f>+BS!E25-'Historicals &amp; Projections'!D23</f>
        <v>-122.53787878787878</v>
      </c>
      <c r="D19" s="442">
        <f>+BS!F25-BS!E25</f>
        <v>9.3465909090909065</v>
      </c>
      <c r="E19" s="442">
        <f>+BS!G25-BS!F25</f>
        <v>9.3465909090909065</v>
      </c>
      <c r="F19" s="442">
        <f>+BS!H25-BS!G25</f>
        <v>9.3465909090909065</v>
      </c>
      <c r="G19" s="442">
        <f>+BS!I25-BS!H25</f>
        <v>9.3465909090909136</v>
      </c>
      <c r="H19" s="442">
        <f>+BS!J25-BS!I25</f>
        <v>9.3371212121212182</v>
      </c>
      <c r="I19" s="442">
        <f>+BS!K25-BS!J25</f>
        <v>9.3371212121212039</v>
      </c>
      <c r="J19" s="442">
        <f>+BS!L25-BS!K25</f>
        <v>9.3371212121212182</v>
      </c>
      <c r="K19" s="442">
        <f>+BS!M25-BS!L25</f>
        <v>9.3371212121212039</v>
      </c>
      <c r="L19" s="442">
        <f>+BS!N25-BS!M25</f>
        <v>9.3371212121212182</v>
      </c>
      <c r="M19" s="442">
        <f>+BS!O25-BS!N25</f>
        <v>9.3371212121212182</v>
      </c>
      <c r="N19" s="442">
        <f>+BS!P25-BS!O25</f>
        <v>9.3371212121211897</v>
      </c>
      <c r="O19" s="442">
        <f>+BS!Q25-BS!P25</f>
        <v>92.178030303030312</v>
      </c>
      <c r="P19" s="442">
        <f>+BS!R25-BS!Q25</f>
        <v>19.14772727272728</v>
      </c>
      <c r="Q19" s="442">
        <f>+BS!S25-BS!R25</f>
        <v>19.14772727272728</v>
      </c>
      <c r="R19" s="442">
        <f>+BS!T25-BS!S25</f>
        <v>19.147727272727252</v>
      </c>
      <c r="S19" s="442">
        <f>+BS!U25-BS!T25</f>
        <v>17.443181818181813</v>
      </c>
      <c r="T19" s="442">
        <f>+BS!V25-BS!U25</f>
        <v>16.761363636363626</v>
      </c>
      <c r="U19" s="442">
        <f>+BS!W25-BS!V25</f>
        <v>16.761363636363626</v>
      </c>
      <c r="V19" s="442">
        <f>+BS!X25-BS!W25</f>
        <v>16.761363636363683</v>
      </c>
      <c r="W19" s="442">
        <f>+BS!Y25-BS!X25</f>
        <v>16.751893939393938</v>
      </c>
      <c r="X19" s="442">
        <f>+BS!Z25-BS!Y25</f>
        <v>16.751893939393881</v>
      </c>
      <c r="Y19" s="442">
        <f>+BS!AA25-BS!Z25</f>
        <v>16.751893939393995</v>
      </c>
      <c r="Z19" s="442">
        <f>+BS!AB25-BS!AA25</f>
        <v>16.751893939393938</v>
      </c>
      <c r="AA19" s="442">
        <f>+BS!AC25-BS!AB25</f>
        <v>52.888257575757507</v>
      </c>
      <c r="AB19" s="442">
        <f>+BS!AD25-BS!AC25</f>
        <v>21.893939393939434</v>
      </c>
      <c r="AC19" s="442">
        <f>+BS!AE25-BS!AD25</f>
        <v>21.893939393939434</v>
      </c>
      <c r="AD19" s="442">
        <f>+BS!AF25-BS!AE25</f>
        <v>21.89393939393932</v>
      </c>
      <c r="AE19" s="442">
        <f>+BS!AG25-BS!AF25</f>
        <v>21.893939393939377</v>
      </c>
      <c r="AF19" s="442">
        <f>+BS!AH25-BS!AG25</f>
        <v>21.89393939393949</v>
      </c>
      <c r="AG19" s="442">
        <f>+BS!AI25-BS!AH25</f>
        <v>21.884469696969632</v>
      </c>
      <c r="AH19" s="442">
        <f>+BS!AJ25-BS!AI25</f>
        <v>21.884469696969745</v>
      </c>
      <c r="AI19" s="442">
        <f>+BS!AK25-BS!AJ25</f>
        <v>21.884469696969632</v>
      </c>
      <c r="AJ19" s="442">
        <f>+BS!AL25-BS!AK25</f>
        <v>21.884469696969745</v>
      </c>
      <c r="AK19" s="442">
        <f>+BS!AM25-BS!AL25</f>
        <v>21.884469696969745</v>
      </c>
      <c r="AL19" s="442">
        <f>+BS!AN25-BS!AM25</f>
        <v>21.884469696969632</v>
      </c>
      <c r="AM19" s="118"/>
      <c r="AN19" s="118"/>
      <c r="AO19" s="118"/>
    </row>
    <row r="20" spans="1:41" s="11" customFormat="1" ht="15">
      <c r="A20" s="65"/>
      <c r="B20" s="109" t="s">
        <v>59</v>
      </c>
      <c r="C20" s="443">
        <f>SUM(C9:C19)</f>
        <v>-165072.87328106436</v>
      </c>
      <c r="D20" s="443">
        <f>SUM(D9:D19)</f>
        <v>-163467.2405907652</v>
      </c>
      <c r="E20" s="443">
        <f>SUM(E9:E19)</f>
        <v>-161472.24359043103</v>
      </c>
      <c r="F20" s="443">
        <f>SUM(F9:F19)</f>
        <v>-124755.02436787452</v>
      </c>
      <c r="G20" s="443">
        <f>SUM(G9:G19)</f>
        <v>-122760.02736754036</v>
      </c>
      <c r="H20" s="443">
        <f t="shared" ref="H20:N20" si="0">SUM(H9:H19)</f>
        <v>-120766.72248751302</v>
      </c>
      <c r="I20" s="443">
        <f t="shared" si="0"/>
        <v>-118773.44946500855</v>
      </c>
      <c r="J20" s="443">
        <f t="shared" si="0"/>
        <v>-116780.17644250412</v>
      </c>
      <c r="K20" s="443">
        <f t="shared" si="0"/>
        <v>-114836.90341999965</v>
      </c>
      <c r="L20" s="443">
        <f t="shared" si="0"/>
        <v>-112793.63039749517</v>
      </c>
      <c r="M20" s="443">
        <f t="shared" si="0"/>
        <v>-110800.35737499071</v>
      </c>
      <c r="N20" s="443">
        <f t="shared" si="0"/>
        <v>-108807.0843524863</v>
      </c>
      <c r="O20" s="443">
        <f t="shared" ref="O20:AL20" si="1">SUM(O9:O19)</f>
        <v>-217823.15103406308</v>
      </c>
      <c r="P20" s="443">
        <f t="shared" si="1"/>
        <v>-213652.99943535542</v>
      </c>
      <c r="Q20" s="443">
        <f t="shared" si="1"/>
        <v>-209726.96994003456</v>
      </c>
      <c r="R20" s="443">
        <f t="shared" si="1"/>
        <v>-205800.94044471366</v>
      </c>
      <c r="S20" s="443">
        <f t="shared" si="1"/>
        <v>-202179.4926046402</v>
      </c>
      <c r="T20" s="443">
        <f t="shared" si="1"/>
        <v>-198832.37210553148</v>
      </c>
      <c r="U20" s="443">
        <f t="shared" si="1"/>
        <v>-195487.50046448872</v>
      </c>
      <c r="V20" s="443">
        <f t="shared" si="1"/>
        <v>-192142.62882344588</v>
      </c>
      <c r="W20" s="443">
        <f t="shared" si="1"/>
        <v>-188799.4493027101</v>
      </c>
      <c r="X20" s="443">
        <f t="shared" si="1"/>
        <v>-185456.30163949711</v>
      </c>
      <c r="Y20" s="443">
        <f t="shared" si="1"/>
        <v>-182113.15397628403</v>
      </c>
      <c r="Z20" s="443">
        <f t="shared" si="1"/>
        <v>-178770.006313071</v>
      </c>
      <c r="AA20" s="443">
        <f t="shared" si="1"/>
        <v>-173267.62385434995</v>
      </c>
      <c r="AB20" s="443">
        <f t="shared" si="1"/>
        <v>-168519.40372950313</v>
      </c>
      <c r="AC20" s="443">
        <f t="shared" si="1"/>
        <v>-163873.34750178471</v>
      </c>
      <c r="AD20" s="443">
        <f t="shared" si="1"/>
        <v>-159227.29127406652</v>
      </c>
      <c r="AE20" s="443">
        <f t="shared" si="1"/>
        <v>-154581.23504634801</v>
      </c>
      <c r="AF20" s="443">
        <f t="shared" si="1"/>
        <v>-149935.17881862968</v>
      </c>
      <c r="AG20" s="443">
        <f t="shared" si="1"/>
        <v>-145290.81471121832</v>
      </c>
      <c r="AH20" s="443">
        <f t="shared" si="1"/>
        <v>-140646.48246132972</v>
      </c>
      <c r="AI20" s="443">
        <f t="shared" si="1"/>
        <v>-136002.1502114411</v>
      </c>
      <c r="AJ20" s="443">
        <f t="shared" si="1"/>
        <v>-131357.81796155247</v>
      </c>
      <c r="AK20" s="443">
        <f t="shared" si="1"/>
        <v>-126713.48571166393</v>
      </c>
      <c r="AL20" s="443">
        <f t="shared" si="1"/>
        <v>-122069.15346177538</v>
      </c>
      <c r="AM20" s="145"/>
      <c r="AN20" s="145"/>
      <c r="AO20" s="145"/>
    </row>
    <row r="21" spans="1:41" s="11" customFormat="1" ht="15">
      <c r="A21" s="65"/>
      <c r="B21" s="62"/>
      <c r="C21" s="118"/>
      <c r="D21" s="118"/>
      <c r="E21" s="118"/>
      <c r="F21" s="118"/>
      <c r="G21" s="118"/>
      <c r="H21" s="121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</row>
    <row r="22" spans="1:41" s="11" customFormat="1" ht="15">
      <c r="A22" s="65"/>
      <c r="B22" s="105" t="s">
        <v>252</v>
      </c>
      <c r="C22" s="445">
        <f>-'TA '!F14-'TA '!F20-IA!F14-IA!F20</f>
        <v>-1140</v>
      </c>
      <c r="D22" s="445">
        <f>-'TA '!G14-'TA '!G20-IA!G14-IA!G20</f>
        <v>0</v>
      </c>
      <c r="E22" s="445">
        <f>-'TA '!H14-'TA '!H20-IA!H14-IA!H20</f>
        <v>0</v>
      </c>
      <c r="F22" s="445">
        <f>-'TA '!I14-'TA '!I20-IA!I14-IA!I20</f>
        <v>0</v>
      </c>
      <c r="G22" s="445">
        <f>-'TA '!J14-'TA '!J20-IA!J14-IA!J20</f>
        <v>0</v>
      </c>
      <c r="H22" s="445">
        <f>-'TA '!K14-'TA '!K20-IA!K14-IA!K20</f>
        <v>0</v>
      </c>
      <c r="I22" s="445">
        <f>-'TA '!L14-'TA '!L20-IA!L14-IA!L20</f>
        <v>0</v>
      </c>
      <c r="J22" s="445">
        <f>-'TA '!M14-'TA '!M20-IA!M14-IA!M20</f>
        <v>0</v>
      </c>
      <c r="K22" s="445">
        <f>-'TA '!N14-'TA '!N20-IA!N14-IA!N20</f>
        <v>0</v>
      </c>
      <c r="L22" s="445">
        <f>-'TA '!O14-'TA '!O20-IA!O14-IA!O20</f>
        <v>0</v>
      </c>
      <c r="M22" s="445">
        <f>-'TA '!P14-'TA '!P20-IA!P14-IA!P20</f>
        <v>0</v>
      </c>
      <c r="N22" s="445">
        <f>-'TA '!Q14-'TA '!Q20-IA!Q14-IA!Q20</f>
        <v>0</v>
      </c>
      <c r="O22" s="445">
        <f>-'TA '!R14-'TA '!R20-IA!R14-IA!R20</f>
        <v>0</v>
      </c>
      <c r="P22" s="445">
        <f>-'TA '!S14-'TA '!S20-IA!S14-IA!S20</f>
        <v>-17500</v>
      </c>
      <c r="Q22" s="445">
        <f>-'TA '!T14-'TA '!T20-IA!T14-IA!T20</f>
        <v>0</v>
      </c>
      <c r="R22" s="445">
        <f>-'TA '!U14-'TA '!U20-IA!U14-IA!U20</f>
        <v>0</v>
      </c>
      <c r="S22" s="445">
        <f>-'TA '!V14-'TA '!V20-IA!V14-IA!V20</f>
        <v>0</v>
      </c>
      <c r="T22" s="445">
        <f>-'TA '!W14-'TA '!W20-IA!W14-IA!W20</f>
        <v>0</v>
      </c>
      <c r="U22" s="445">
        <f>-'TA '!X14-'TA '!X20-IA!X14-IA!X20</f>
        <v>0</v>
      </c>
      <c r="V22" s="445">
        <f>-'TA '!Y14-'TA '!Y20-IA!Y14-IA!Y20</f>
        <v>0</v>
      </c>
      <c r="W22" s="445">
        <f>-'TA '!Z14-'TA '!Z20-IA!Z14-IA!Z20</f>
        <v>0</v>
      </c>
      <c r="X22" s="445">
        <f>-'TA '!AA14-'TA '!AA20-IA!AA14-IA!AA20</f>
        <v>0</v>
      </c>
      <c r="Y22" s="445">
        <f>-'TA '!AB14-'TA '!AB20-IA!AB14-IA!AB20</f>
        <v>0</v>
      </c>
      <c r="Z22" s="445">
        <f>-'TA '!AC14-'TA '!AC20-IA!AC14-IA!AC20</f>
        <v>0</v>
      </c>
      <c r="AA22" s="445">
        <f>-'TA '!AD14-'TA '!AD20-IA!AD14-IA!AD20</f>
        <v>-80000</v>
      </c>
      <c r="AB22" s="445">
        <f>-'TA '!AE14-'TA '!AE20-IA!AE14-IA!AE20</f>
        <v>0</v>
      </c>
      <c r="AC22" s="445">
        <f>-'TA '!AF14-'TA '!AF20-IA!AF14-IA!AF20</f>
        <v>0</v>
      </c>
      <c r="AD22" s="445">
        <f>-'TA '!AG14-'TA '!AG20-IA!AG14-IA!AG20</f>
        <v>0</v>
      </c>
      <c r="AE22" s="445">
        <f>-'TA '!AH14-'TA '!AH20-IA!AH14-IA!AH20</f>
        <v>0</v>
      </c>
      <c r="AF22" s="445">
        <f>-'TA '!AI14-'TA '!AI20-IA!AI14-IA!AI20</f>
        <v>0</v>
      </c>
      <c r="AG22" s="445">
        <f>-'TA '!AJ14-'TA '!AJ20-IA!AJ14-IA!AJ20</f>
        <v>0</v>
      </c>
      <c r="AH22" s="445">
        <f>-'TA '!AK14-'TA '!AK20-IA!AK14-IA!AK20</f>
        <v>0</v>
      </c>
      <c r="AI22" s="445">
        <f>-'TA '!AL14-'TA '!AL20-IA!AL14-IA!AL20</f>
        <v>0</v>
      </c>
      <c r="AJ22" s="445">
        <f>-'TA '!AM14-'TA '!AM20-IA!AM14-IA!AM20</f>
        <v>0</v>
      </c>
      <c r="AK22" s="445">
        <f>-'TA '!AN14-'TA '!AN20-IA!AN14-IA!AN20</f>
        <v>0</v>
      </c>
      <c r="AL22" s="445">
        <f>-'TA '!AO14-'TA '!AO20-IA!AO14-IA!AO20</f>
        <v>0</v>
      </c>
      <c r="AM22" s="118"/>
      <c r="AN22" s="118"/>
      <c r="AO22" s="118"/>
    </row>
    <row r="23" spans="1:41" s="11" customFormat="1" ht="15">
      <c r="A23" s="65"/>
      <c r="B23" s="105" t="s">
        <v>404</v>
      </c>
      <c r="C23" s="445">
        <f>-'TA '!F22</f>
        <v>0</v>
      </c>
      <c r="D23" s="445">
        <f>-'TA '!G22</f>
        <v>0</v>
      </c>
      <c r="E23" s="445">
        <f>-'TA '!H22</f>
        <v>0</v>
      </c>
      <c r="F23" s="445">
        <f>-'TA '!I22</f>
        <v>0</v>
      </c>
      <c r="G23" s="445">
        <f>-'TA '!J22</f>
        <v>0</v>
      </c>
      <c r="H23" s="445">
        <f>-'TA '!K22</f>
        <v>0</v>
      </c>
      <c r="I23" s="445">
        <f>-'TA '!L22</f>
        <v>0</v>
      </c>
      <c r="J23" s="445">
        <f>-'TA '!M22</f>
        <v>0</v>
      </c>
      <c r="K23" s="445">
        <f>-'TA '!N22</f>
        <v>0</v>
      </c>
      <c r="L23" s="445">
        <f>-'TA '!O22</f>
        <v>0</v>
      </c>
      <c r="M23" s="445">
        <f>-'TA '!P22</f>
        <v>0</v>
      </c>
      <c r="N23" s="445">
        <f>-'TA '!Q22</f>
        <v>0</v>
      </c>
      <c r="O23" s="445">
        <f>-'TA '!R22</f>
        <v>0</v>
      </c>
      <c r="P23" s="445">
        <f>-'TA '!S22</f>
        <v>0</v>
      </c>
      <c r="Q23" s="445">
        <f>-'TA '!T22</f>
        <v>0</v>
      </c>
      <c r="R23" s="445">
        <f>-'TA '!U22</f>
        <v>0</v>
      </c>
      <c r="S23" s="445">
        <f>-'TA '!V22</f>
        <v>0</v>
      </c>
      <c r="T23" s="445">
        <f>-'TA '!W22</f>
        <v>0</v>
      </c>
      <c r="U23" s="445">
        <f>-'TA '!X22</f>
        <v>0</v>
      </c>
      <c r="V23" s="445">
        <f>-'TA '!Y22</f>
        <v>0</v>
      </c>
      <c r="W23" s="445">
        <f>-'TA '!Z22</f>
        <v>0</v>
      </c>
      <c r="X23" s="445">
        <f>-'TA '!AA22</f>
        <v>0</v>
      </c>
      <c r="Y23" s="445">
        <f>-'TA '!AB22</f>
        <v>0</v>
      </c>
      <c r="Z23" s="445">
        <f>-'TA '!AC22</f>
        <v>0</v>
      </c>
      <c r="AA23" s="445">
        <f>-'TA '!AD22</f>
        <v>0</v>
      </c>
      <c r="AB23" s="445">
        <f>-'TA '!AE22</f>
        <v>0</v>
      </c>
      <c r="AC23" s="445">
        <f>-'TA '!AF22</f>
        <v>0</v>
      </c>
      <c r="AD23" s="445">
        <f>-'TA '!AG22</f>
        <v>0</v>
      </c>
      <c r="AE23" s="445">
        <f>-'TA '!AH22</f>
        <v>0</v>
      </c>
      <c r="AF23" s="445">
        <f>-'TA '!AI22</f>
        <v>0</v>
      </c>
      <c r="AG23" s="445">
        <f>-'TA '!AJ22</f>
        <v>0</v>
      </c>
      <c r="AH23" s="445">
        <f>-'TA '!AK22</f>
        <v>0</v>
      </c>
      <c r="AI23" s="445">
        <f>-'TA '!AL22</f>
        <v>0</v>
      </c>
      <c r="AJ23" s="445">
        <f>-'TA '!AM22</f>
        <v>0</v>
      </c>
      <c r="AK23" s="445">
        <f>-'TA '!AN22</f>
        <v>0</v>
      </c>
      <c r="AL23" s="445">
        <f>-'TA '!AO22</f>
        <v>0</v>
      </c>
      <c r="AM23" s="118"/>
      <c r="AN23" s="118"/>
      <c r="AO23" s="118"/>
    </row>
    <row r="24" spans="1:41" ht="15">
      <c r="A24" s="59"/>
      <c r="B24" s="109" t="s">
        <v>60</v>
      </c>
      <c r="C24" s="443">
        <f>SUM(C22:C23)</f>
        <v>-1140</v>
      </c>
      <c r="D24" s="443">
        <f>SUM(D22:D23)</f>
        <v>0</v>
      </c>
      <c r="E24" s="443">
        <f>SUM(E22:E23)</f>
        <v>0</v>
      </c>
      <c r="F24" s="443">
        <f>SUM(F22:F23)</f>
        <v>0</v>
      </c>
      <c r="G24" s="443">
        <f>SUM(G22:G23)</f>
        <v>0</v>
      </c>
      <c r="H24" s="443">
        <f t="shared" ref="H24:N24" si="2">SUM(H22:H23)</f>
        <v>0</v>
      </c>
      <c r="I24" s="443">
        <f t="shared" si="2"/>
        <v>0</v>
      </c>
      <c r="J24" s="443">
        <f t="shared" si="2"/>
        <v>0</v>
      </c>
      <c r="K24" s="443">
        <f t="shared" si="2"/>
        <v>0</v>
      </c>
      <c r="L24" s="443">
        <f t="shared" si="2"/>
        <v>0</v>
      </c>
      <c r="M24" s="443">
        <f t="shared" si="2"/>
        <v>0</v>
      </c>
      <c r="N24" s="443">
        <f t="shared" si="2"/>
        <v>0</v>
      </c>
      <c r="O24" s="443">
        <f t="shared" ref="O24:AL24" si="3">SUM(O22:O23)</f>
        <v>0</v>
      </c>
      <c r="P24" s="443">
        <f>SUM(P22:P23)</f>
        <v>-17500</v>
      </c>
      <c r="Q24" s="443">
        <f t="shared" si="3"/>
        <v>0</v>
      </c>
      <c r="R24" s="443">
        <f t="shared" si="3"/>
        <v>0</v>
      </c>
      <c r="S24" s="443">
        <f t="shared" si="3"/>
        <v>0</v>
      </c>
      <c r="T24" s="443">
        <f t="shared" si="3"/>
        <v>0</v>
      </c>
      <c r="U24" s="443">
        <f t="shared" si="3"/>
        <v>0</v>
      </c>
      <c r="V24" s="443">
        <f t="shared" si="3"/>
        <v>0</v>
      </c>
      <c r="W24" s="443">
        <f t="shared" si="3"/>
        <v>0</v>
      </c>
      <c r="X24" s="443">
        <f t="shared" si="3"/>
        <v>0</v>
      </c>
      <c r="Y24" s="443">
        <f t="shared" si="3"/>
        <v>0</v>
      </c>
      <c r="Z24" s="443">
        <f t="shared" si="3"/>
        <v>0</v>
      </c>
      <c r="AA24" s="443">
        <f t="shared" si="3"/>
        <v>-80000</v>
      </c>
      <c r="AB24" s="443">
        <f t="shared" si="3"/>
        <v>0</v>
      </c>
      <c r="AC24" s="443">
        <f t="shared" si="3"/>
        <v>0</v>
      </c>
      <c r="AD24" s="443">
        <f t="shared" si="3"/>
        <v>0</v>
      </c>
      <c r="AE24" s="443">
        <f t="shared" si="3"/>
        <v>0</v>
      </c>
      <c r="AF24" s="443">
        <f t="shared" si="3"/>
        <v>0</v>
      </c>
      <c r="AG24" s="443">
        <f t="shared" si="3"/>
        <v>0</v>
      </c>
      <c r="AH24" s="443">
        <f t="shared" si="3"/>
        <v>0</v>
      </c>
      <c r="AI24" s="443">
        <f t="shared" si="3"/>
        <v>0</v>
      </c>
      <c r="AJ24" s="443">
        <f t="shared" si="3"/>
        <v>0</v>
      </c>
      <c r="AK24" s="443">
        <f t="shared" si="3"/>
        <v>0</v>
      </c>
      <c r="AL24" s="443">
        <f t="shared" si="3"/>
        <v>0</v>
      </c>
      <c r="AM24" s="145"/>
      <c r="AN24" s="145"/>
      <c r="AO24" s="145"/>
    </row>
    <row r="25" spans="1:41" ht="15">
      <c r="A25" s="59"/>
      <c r="B25" s="62"/>
      <c r="C25" s="118"/>
      <c r="D25" s="118"/>
      <c r="E25" s="118"/>
      <c r="F25" s="118"/>
      <c r="G25" s="118"/>
      <c r="H25" s="79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</row>
    <row r="26" spans="1:41" ht="15">
      <c r="A26" s="59"/>
      <c r="B26" s="105" t="s">
        <v>324</v>
      </c>
      <c r="C26" s="442">
        <f>+FIN!D65</f>
        <v>0</v>
      </c>
      <c r="D26" s="442">
        <f>+FIN!E65</f>
        <v>0</v>
      </c>
      <c r="E26" s="442">
        <f>+FIN!F65</f>
        <v>0</v>
      </c>
      <c r="F26" s="442">
        <f>+FIN!G65</f>
        <v>0</v>
      </c>
      <c r="G26" s="442">
        <f>+FIN!H65</f>
        <v>0</v>
      </c>
      <c r="H26" s="442">
        <f>+FIN!I65</f>
        <v>0</v>
      </c>
      <c r="I26" s="442">
        <f>+FIN!J65</f>
        <v>0</v>
      </c>
      <c r="J26" s="442">
        <f>+FIN!K65</f>
        <v>0</v>
      </c>
      <c r="K26" s="442">
        <f>+FIN!L65</f>
        <v>0</v>
      </c>
      <c r="L26" s="442">
        <f>+FIN!M65</f>
        <v>0</v>
      </c>
      <c r="M26" s="442">
        <f>+FIN!N65</f>
        <v>0</v>
      </c>
      <c r="N26" s="442">
        <f>+FIN!O65</f>
        <v>0</v>
      </c>
      <c r="O26" s="442">
        <f>+FIN!P65</f>
        <v>0</v>
      </c>
      <c r="P26" s="442">
        <f>+FIN!Q65</f>
        <v>0</v>
      </c>
      <c r="Q26" s="442">
        <f>+FIN!R65</f>
        <v>0</v>
      </c>
      <c r="R26" s="442">
        <f>+FIN!S65</f>
        <v>0</v>
      </c>
      <c r="S26" s="442">
        <f>+FIN!T65</f>
        <v>0</v>
      </c>
      <c r="T26" s="442">
        <f>+FIN!U65</f>
        <v>0</v>
      </c>
      <c r="U26" s="442">
        <f>+FIN!V65</f>
        <v>0</v>
      </c>
      <c r="V26" s="442">
        <f>+FIN!W65</f>
        <v>0</v>
      </c>
      <c r="W26" s="442">
        <f>+FIN!X65</f>
        <v>0</v>
      </c>
      <c r="X26" s="442">
        <f>+FIN!Y65</f>
        <v>0</v>
      </c>
      <c r="Y26" s="442">
        <f>+FIN!Z65</f>
        <v>0</v>
      </c>
      <c r="Z26" s="442">
        <f>+FIN!AA65</f>
        <v>0</v>
      </c>
      <c r="AA26" s="442">
        <f>+FIN!AB65</f>
        <v>1000000</v>
      </c>
      <c r="AB26" s="442">
        <f>+FIN!AC65</f>
        <v>0</v>
      </c>
      <c r="AC26" s="442">
        <f>+FIN!AD65</f>
        <v>0</v>
      </c>
      <c r="AD26" s="442">
        <f>+FIN!AE65</f>
        <v>0</v>
      </c>
      <c r="AE26" s="442">
        <f>+FIN!AF65</f>
        <v>0</v>
      </c>
      <c r="AF26" s="442">
        <f>+FIN!AG65</f>
        <v>0</v>
      </c>
      <c r="AG26" s="442">
        <f>+FIN!AH65</f>
        <v>0</v>
      </c>
      <c r="AH26" s="442">
        <f>+FIN!AI65</f>
        <v>0</v>
      </c>
      <c r="AI26" s="442">
        <f>+FIN!AJ65</f>
        <v>0</v>
      </c>
      <c r="AJ26" s="442">
        <f>+FIN!AK65</f>
        <v>0</v>
      </c>
      <c r="AK26" s="442">
        <f>+FIN!AL65</f>
        <v>0</v>
      </c>
      <c r="AL26" s="442">
        <f>+FIN!AM65</f>
        <v>0</v>
      </c>
      <c r="AM26" s="118"/>
      <c r="AN26" s="118"/>
      <c r="AO26" s="118"/>
    </row>
    <row r="27" spans="1:41" ht="15">
      <c r="A27" s="59"/>
      <c r="B27" s="105" t="s">
        <v>407</v>
      </c>
      <c r="C27" s="442">
        <f>+FIN!D36+FIN!D48</f>
        <v>1000000</v>
      </c>
      <c r="D27" s="442">
        <f>+FIN!E36+FIN!E48</f>
        <v>0</v>
      </c>
      <c r="E27" s="442">
        <f>+FIN!F36+FIN!F48</f>
        <v>0</v>
      </c>
      <c r="F27" s="442">
        <f>+FIN!G36+FIN!G48</f>
        <v>-500000</v>
      </c>
      <c r="G27" s="442">
        <f>+FIN!H36+FIN!H48</f>
        <v>0</v>
      </c>
      <c r="H27" s="442">
        <f>+FIN!I36+FIN!I48</f>
        <v>0</v>
      </c>
      <c r="I27" s="442">
        <f>+FIN!J36+FIN!J48</f>
        <v>0</v>
      </c>
      <c r="J27" s="442">
        <f>+FIN!K36+FIN!K48</f>
        <v>0</v>
      </c>
      <c r="K27" s="442">
        <f>+FIN!L36+FIN!L48</f>
        <v>0</v>
      </c>
      <c r="L27" s="442">
        <f>+FIN!M36+FIN!M48</f>
        <v>0</v>
      </c>
      <c r="M27" s="442">
        <f>+FIN!N36+FIN!N48</f>
        <v>0</v>
      </c>
      <c r="N27" s="442">
        <f>+FIN!O36+FIN!O48</f>
        <v>0</v>
      </c>
      <c r="O27" s="442">
        <f>+FIN!P36+FIN!P48</f>
        <v>550000</v>
      </c>
      <c r="P27" s="442">
        <f>+FIN!Q36+FIN!Q48</f>
        <v>0</v>
      </c>
      <c r="Q27" s="442">
        <f>+FIN!R36+FIN!R48</f>
        <v>0</v>
      </c>
      <c r="R27" s="442">
        <f>+FIN!S36+FIN!S48</f>
        <v>0</v>
      </c>
      <c r="S27" s="442">
        <f>+FIN!T36+FIN!T48</f>
        <v>0</v>
      </c>
      <c r="T27" s="442">
        <f>+FIN!U36+FIN!U48</f>
        <v>0</v>
      </c>
      <c r="U27" s="442">
        <f>+FIN!V36+FIN!V48</f>
        <v>0</v>
      </c>
      <c r="V27" s="442">
        <f>+FIN!W36+FIN!W48</f>
        <v>0</v>
      </c>
      <c r="W27" s="442">
        <f>+FIN!X36+FIN!X48</f>
        <v>0</v>
      </c>
      <c r="X27" s="442">
        <f>+FIN!Y36+FIN!Y48</f>
        <v>0</v>
      </c>
      <c r="Y27" s="442">
        <f>+FIN!Z36+FIN!Z48</f>
        <v>0</v>
      </c>
      <c r="Z27" s="442">
        <f>+FIN!AA36+FIN!AA48</f>
        <v>0</v>
      </c>
      <c r="AA27" s="442">
        <f>+FIN!AB36+FIN!AB48</f>
        <v>0</v>
      </c>
      <c r="AB27" s="442">
        <f>+FIN!AC36+FIN!AC48</f>
        <v>0</v>
      </c>
      <c r="AC27" s="442">
        <f>+FIN!AD36+FIN!AD48</f>
        <v>0</v>
      </c>
      <c r="AD27" s="442">
        <f>+FIN!AE36+FIN!AE48</f>
        <v>0</v>
      </c>
      <c r="AE27" s="442">
        <f>+FIN!AF36+FIN!AF48</f>
        <v>0</v>
      </c>
      <c r="AF27" s="442">
        <f>+FIN!AG36+FIN!AG48</f>
        <v>0</v>
      </c>
      <c r="AG27" s="442">
        <f>+FIN!AH36+FIN!AH48</f>
        <v>0</v>
      </c>
      <c r="AH27" s="442">
        <f>+FIN!AI36+FIN!AI48</f>
        <v>0</v>
      </c>
      <c r="AI27" s="442">
        <f>+FIN!AJ36+FIN!AJ48</f>
        <v>0</v>
      </c>
      <c r="AJ27" s="442">
        <f>+FIN!AK36+FIN!AK48</f>
        <v>0</v>
      </c>
      <c r="AK27" s="442">
        <f>+FIN!AL36+FIN!AL48</f>
        <v>0</v>
      </c>
      <c r="AL27" s="442">
        <f>+FIN!AM36+FIN!AM48</f>
        <v>0</v>
      </c>
      <c r="AM27" s="118"/>
      <c r="AN27" s="118"/>
      <c r="AO27" s="118"/>
    </row>
    <row r="28" spans="1:41" ht="15">
      <c r="A28" s="59"/>
      <c r="B28" s="105" t="s">
        <v>322</v>
      </c>
      <c r="C28" s="442">
        <f>-FIN!D64</f>
        <v>0</v>
      </c>
      <c r="D28" s="442">
        <f>-FIN!E64</f>
        <v>0</v>
      </c>
      <c r="E28" s="442">
        <f>-FIN!F64</f>
        <v>0</v>
      </c>
      <c r="F28" s="442">
        <f>-FIN!G64</f>
        <v>0</v>
      </c>
      <c r="G28" s="442">
        <f>-FIN!H64</f>
        <v>0</v>
      </c>
      <c r="H28" s="442">
        <f>-FIN!I64</f>
        <v>0</v>
      </c>
      <c r="I28" s="442">
        <f>-FIN!J64</f>
        <v>0</v>
      </c>
      <c r="J28" s="442">
        <f>-FIN!K64</f>
        <v>0</v>
      </c>
      <c r="K28" s="442">
        <f>-FIN!L64</f>
        <v>0</v>
      </c>
      <c r="L28" s="442">
        <f>-FIN!M64</f>
        <v>0</v>
      </c>
      <c r="M28" s="442">
        <f>-FIN!N64</f>
        <v>0</v>
      </c>
      <c r="N28" s="442">
        <f>-FIN!O64</f>
        <v>0</v>
      </c>
      <c r="O28" s="442">
        <f>-FIN!P64</f>
        <v>0</v>
      </c>
      <c r="P28" s="442">
        <f>-FIN!Q64</f>
        <v>0</v>
      </c>
      <c r="Q28" s="442">
        <f>-FIN!R64</f>
        <v>0</v>
      </c>
      <c r="R28" s="442">
        <f>-FIN!S64</f>
        <v>0</v>
      </c>
      <c r="S28" s="442">
        <f>-FIN!T64</f>
        <v>0</v>
      </c>
      <c r="T28" s="442">
        <f>-FIN!U64</f>
        <v>0</v>
      </c>
      <c r="U28" s="442">
        <f>-FIN!V64</f>
        <v>0</v>
      </c>
      <c r="V28" s="442">
        <f>-FIN!W64</f>
        <v>0</v>
      </c>
      <c r="W28" s="442">
        <f>-FIN!X64</f>
        <v>0</v>
      </c>
      <c r="X28" s="442">
        <f>-FIN!Y64</f>
        <v>0</v>
      </c>
      <c r="Y28" s="442">
        <f>-FIN!Z64</f>
        <v>0</v>
      </c>
      <c r="Z28" s="442">
        <f>-FIN!AA64</f>
        <v>0</v>
      </c>
      <c r="AA28" s="442">
        <f>-FIN!AB64</f>
        <v>0</v>
      </c>
      <c r="AB28" s="442">
        <f>-FIN!AC64</f>
        <v>0</v>
      </c>
      <c r="AC28" s="442">
        <f>-FIN!AD64</f>
        <v>0</v>
      </c>
      <c r="AD28" s="442">
        <f>-FIN!AE64</f>
        <v>0</v>
      </c>
      <c r="AE28" s="442">
        <f>-FIN!AF64</f>
        <v>0</v>
      </c>
      <c r="AF28" s="442">
        <f>-FIN!AG64</f>
        <v>0</v>
      </c>
      <c r="AG28" s="442">
        <f>-FIN!AH64</f>
        <v>0</v>
      </c>
      <c r="AH28" s="442">
        <f>-FIN!AI64</f>
        <v>0</v>
      </c>
      <c r="AI28" s="442">
        <f>-FIN!AJ64</f>
        <v>0</v>
      </c>
      <c r="AJ28" s="442">
        <f>-FIN!AK64</f>
        <v>0</v>
      </c>
      <c r="AK28" s="442">
        <f>-FIN!AL64</f>
        <v>0</v>
      </c>
      <c r="AL28" s="442">
        <f>-FIN!AM64</f>
        <v>0</v>
      </c>
      <c r="AM28" s="118"/>
      <c r="AN28" s="118"/>
      <c r="AO28" s="118"/>
    </row>
    <row r="29" spans="1:41" ht="15">
      <c r="A29" s="59"/>
      <c r="B29" s="109" t="s">
        <v>61</v>
      </c>
      <c r="C29" s="443">
        <f>SUM(C26:C28)</f>
        <v>1000000</v>
      </c>
      <c r="D29" s="443">
        <f>SUM(D26:D28)</f>
        <v>0</v>
      </c>
      <c r="E29" s="443">
        <f>SUM(E26:E28)</f>
        <v>0</v>
      </c>
      <c r="F29" s="443">
        <f>SUM(F26:F28)</f>
        <v>-500000</v>
      </c>
      <c r="G29" s="443">
        <f>SUM(G26:G28)</f>
        <v>0</v>
      </c>
      <c r="H29" s="443">
        <f t="shared" ref="H29:N29" si="4">SUM(H26:H28)</f>
        <v>0</v>
      </c>
      <c r="I29" s="443">
        <f t="shared" si="4"/>
        <v>0</v>
      </c>
      <c r="J29" s="443">
        <f t="shared" si="4"/>
        <v>0</v>
      </c>
      <c r="K29" s="443">
        <f t="shared" si="4"/>
        <v>0</v>
      </c>
      <c r="L29" s="443">
        <f t="shared" si="4"/>
        <v>0</v>
      </c>
      <c r="M29" s="443">
        <f t="shared" si="4"/>
        <v>0</v>
      </c>
      <c r="N29" s="443">
        <f t="shared" si="4"/>
        <v>0</v>
      </c>
      <c r="O29" s="443">
        <f t="shared" ref="O29:AL29" si="5">SUM(O26:O28)</f>
        <v>550000</v>
      </c>
      <c r="P29" s="443">
        <f t="shared" si="5"/>
        <v>0</v>
      </c>
      <c r="Q29" s="443">
        <f t="shared" si="5"/>
        <v>0</v>
      </c>
      <c r="R29" s="443">
        <f t="shared" si="5"/>
        <v>0</v>
      </c>
      <c r="S29" s="443">
        <f t="shared" si="5"/>
        <v>0</v>
      </c>
      <c r="T29" s="443">
        <f t="shared" si="5"/>
        <v>0</v>
      </c>
      <c r="U29" s="443">
        <f t="shared" si="5"/>
        <v>0</v>
      </c>
      <c r="V29" s="443">
        <f t="shared" si="5"/>
        <v>0</v>
      </c>
      <c r="W29" s="443">
        <f t="shared" si="5"/>
        <v>0</v>
      </c>
      <c r="X29" s="443">
        <f t="shared" si="5"/>
        <v>0</v>
      </c>
      <c r="Y29" s="443">
        <f t="shared" si="5"/>
        <v>0</v>
      </c>
      <c r="Z29" s="443">
        <f t="shared" si="5"/>
        <v>0</v>
      </c>
      <c r="AA29" s="443">
        <f t="shared" si="5"/>
        <v>1000000</v>
      </c>
      <c r="AB29" s="443">
        <f t="shared" si="5"/>
        <v>0</v>
      </c>
      <c r="AC29" s="443">
        <f t="shared" si="5"/>
        <v>0</v>
      </c>
      <c r="AD29" s="443">
        <f t="shared" si="5"/>
        <v>0</v>
      </c>
      <c r="AE29" s="443">
        <f t="shared" si="5"/>
        <v>0</v>
      </c>
      <c r="AF29" s="443">
        <f t="shared" si="5"/>
        <v>0</v>
      </c>
      <c r="AG29" s="443">
        <f t="shared" si="5"/>
        <v>0</v>
      </c>
      <c r="AH29" s="443">
        <f t="shared" si="5"/>
        <v>0</v>
      </c>
      <c r="AI29" s="443">
        <f t="shared" si="5"/>
        <v>0</v>
      </c>
      <c r="AJ29" s="443">
        <f t="shared" si="5"/>
        <v>0</v>
      </c>
      <c r="AK29" s="443">
        <f t="shared" si="5"/>
        <v>0</v>
      </c>
      <c r="AL29" s="443">
        <f t="shared" si="5"/>
        <v>0</v>
      </c>
      <c r="AM29" s="145"/>
      <c r="AN29" s="145"/>
      <c r="AO29" s="145"/>
    </row>
    <row r="30" spans="1:41" ht="15">
      <c r="A30" s="59"/>
      <c r="B30" s="62"/>
      <c r="C30" s="117"/>
      <c r="D30" s="117"/>
      <c r="E30" s="117"/>
      <c r="F30" s="117"/>
      <c r="G30" s="117"/>
      <c r="H30" s="79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</row>
    <row r="31" spans="1:41" ht="15">
      <c r="A31" s="59"/>
      <c r="B31" s="105" t="s">
        <v>63</v>
      </c>
      <c r="C31" s="442">
        <f>+C20+C24+C29</f>
        <v>833787.12671893567</v>
      </c>
      <c r="D31" s="442">
        <f>+D20+D24+D29</f>
        <v>-163467.2405907652</v>
      </c>
      <c r="E31" s="442">
        <f>+E20+E24+E29</f>
        <v>-161472.24359043103</v>
      </c>
      <c r="F31" s="442">
        <f>+F20+F24+F29</f>
        <v>-624755.02436787449</v>
      </c>
      <c r="G31" s="442">
        <f>+G20+G24+G29</f>
        <v>-122760.02736754036</v>
      </c>
      <c r="H31" s="442">
        <f t="shared" ref="H31:M31" si="6">+H20+H24+H29</f>
        <v>-120766.72248751302</v>
      </c>
      <c r="I31" s="442">
        <f t="shared" si="6"/>
        <v>-118773.44946500855</v>
      </c>
      <c r="J31" s="442">
        <f t="shared" si="6"/>
        <v>-116780.17644250412</v>
      </c>
      <c r="K31" s="442">
        <f t="shared" si="6"/>
        <v>-114836.90341999965</v>
      </c>
      <c r="L31" s="442">
        <f t="shared" si="6"/>
        <v>-112793.63039749517</v>
      </c>
      <c r="M31" s="442">
        <f t="shared" si="6"/>
        <v>-110800.35737499071</v>
      </c>
      <c r="N31" s="442">
        <f>+N20+N24+N29</f>
        <v>-108807.0843524863</v>
      </c>
      <c r="O31" s="442">
        <f t="shared" ref="O31:AL31" si="7">+O20+O24+O29</f>
        <v>332176.84896593692</v>
      </c>
      <c r="P31" s="442">
        <f t="shared" si="7"/>
        <v>-231152.99943535542</v>
      </c>
      <c r="Q31" s="442">
        <f t="shared" si="7"/>
        <v>-209726.96994003456</v>
      </c>
      <c r="R31" s="442">
        <f t="shared" si="7"/>
        <v>-205800.94044471366</v>
      </c>
      <c r="S31" s="442">
        <f t="shared" si="7"/>
        <v>-202179.4926046402</v>
      </c>
      <c r="T31" s="442">
        <f t="shared" si="7"/>
        <v>-198832.37210553148</v>
      </c>
      <c r="U31" s="442">
        <f t="shared" si="7"/>
        <v>-195487.50046448872</v>
      </c>
      <c r="V31" s="442">
        <f t="shared" si="7"/>
        <v>-192142.62882344588</v>
      </c>
      <c r="W31" s="442">
        <f t="shared" si="7"/>
        <v>-188799.4493027101</v>
      </c>
      <c r="X31" s="442">
        <f t="shared" si="7"/>
        <v>-185456.30163949711</v>
      </c>
      <c r="Y31" s="442">
        <f t="shared" si="7"/>
        <v>-182113.15397628403</v>
      </c>
      <c r="Z31" s="442">
        <f t="shared" si="7"/>
        <v>-178770.006313071</v>
      </c>
      <c r="AA31" s="442">
        <f>+AA20+AA24+AA29</f>
        <v>746732.37614565005</v>
      </c>
      <c r="AB31" s="442">
        <f t="shared" si="7"/>
        <v>-168519.40372950313</v>
      </c>
      <c r="AC31" s="442">
        <f t="shared" si="7"/>
        <v>-163873.34750178471</v>
      </c>
      <c r="AD31" s="442">
        <f t="shared" si="7"/>
        <v>-159227.29127406652</v>
      </c>
      <c r="AE31" s="442">
        <f t="shared" si="7"/>
        <v>-154581.23504634801</v>
      </c>
      <c r="AF31" s="442">
        <f t="shared" si="7"/>
        <v>-149935.17881862968</v>
      </c>
      <c r="AG31" s="442">
        <f t="shared" si="7"/>
        <v>-145290.81471121832</v>
      </c>
      <c r="AH31" s="442">
        <f t="shared" si="7"/>
        <v>-140646.48246132972</v>
      </c>
      <c r="AI31" s="442">
        <f t="shared" si="7"/>
        <v>-136002.1502114411</v>
      </c>
      <c r="AJ31" s="442">
        <f t="shared" si="7"/>
        <v>-131357.81796155247</v>
      </c>
      <c r="AK31" s="442">
        <f t="shared" si="7"/>
        <v>-126713.48571166393</v>
      </c>
      <c r="AL31" s="442">
        <f t="shared" si="7"/>
        <v>-122069.15346177538</v>
      </c>
      <c r="AM31" s="118"/>
      <c r="AN31" s="118"/>
      <c r="AO31" s="118"/>
    </row>
    <row r="32" spans="1:41" ht="15">
      <c r="A32" s="59"/>
      <c r="B32" s="105" t="s">
        <v>64</v>
      </c>
      <c r="C32" s="442">
        <f>+'Historicals &amp; Projections'!D8</f>
        <v>1310</v>
      </c>
      <c r="D32" s="442">
        <f>+BS!E10</f>
        <v>835097.12671893567</v>
      </c>
      <c r="E32" s="442">
        <f>+BS!F10</f>
        <v>671629.88612817042</v>
      </c>
      <c r="F32" s="442">
        <f>+BS!G10</f>
        <v>510157.64253773936</v>
      </c>
      <c r="G32" s="442">
        <f>+BS!H10</f>
        <v>-114597.38183013513</v>
      </c>
      <c r="H32" s="442">
        <f>+BS!I10</f>
        <v>-237357.40919767547</v>
      </c>
      <c r="I32" s="442">
        <f>+BS!J10</f>
        <v>-358124.13168518851</v>
      </c>
      <c r="J32" s="442">
        <f>+BS!K10</f>
        <v>-476897.58115019707</v>
      </c>
      <c r="K32" s="442">
        <f>+BS!L10</f>
        <v>-593677.75759270124</v>
      </c>
      <c r="L32" s="442">
        <f>+BS!M10</f>
        <v>-708514.66101270088</v>
      </c>
      <c r="M32" s="442">
        <f>+BS!N10</f>
        <v>-821308.29141019611</v>
      </c>
      <c r="N32" s="442">
        <f>+BS!O10</f>
        <v>-932108.64878518682</v>
      </c>
      <c r="O32" s="442">
        <f>+BS!P10</f>
        <v>-1040915.7331376731</v>
      </c>
      <c r="P32" s="442">
        <f>+BS!Q10</f>
        <v>-708738.88417173619</v>
      </c>
      <c r="Q32" s="442">
        <f>+BS!R10</f>
        <v>-939891.88360709161</v>
      </c>
      <c r="R32" s="442">
        <f>+BS!S10</f>
        <v>-1149618.8535471261</v>
      </c>
      <c r="S32" s="442">
        <f>+BS!T10</f>
        <v>-1355419.7939918397</v>
      </c>
      <c r="T32" s="442">
        <f>+BS!U10</f>
        <v>-1557599.2865964798</v>
      </c>
      <c r="U32" s="442">
        <f>+BS!V10</f>
        <v>-1756431.6587020112</v>
      </c>
      <c r="V32" s="442">
        <f>+BS!W10</f>
        <v>-1951919.1591665</v>
      </c>
      <c r="W32" s="442">
        <f>+BS!X10</f>
        <v>-2144061.7879899461</v>
      </c>
      <c r="X32" s="442">
        <f>+BS!Y10</f>
        <v>-2332861.2372926562</v>
      </c>
      <c r="Y32" s="442">
        <f>+BS!Z10</f>
        <v>-2518317.5389321535</v>
      </c>
      <c r="Z32" s="442">
        <f>+BS!AA10</f>
        <v>-2700430.6929084375</v>
      </c>
      <c r="AA32" s="442">
        <f>+BS!AB10</f>
        <v>-2879200.6992215086</v>
      </c>
      <c r="AB32" s="442">
        <f>+BS!AC10</f>
        <v>-2132468.3230758584</v>
      </c>
      <c r="AC32" s="442">
        <f>+BS!AD10</f>
        <v>-2300987.7268053615</v>
      </c>
      <c r="AD32" s="442">
        <f>+BS!AE10</f>
        <v>-2464861.074307146</v>
      </c>
      <c r="AE32" s="442">
        <f>+BS!AF10</f>
        <v>-2624088.3655812126</v>
      </c>
      <c r="AF32" s="442">
        <f>+BS!AG10</f>
        <v>-2778669.6006275606</v>
      </c>
      <c r="AG32" s="442">
        <f>+BS!AH10</f>
        <v>-2928604.7794461902</v>
      </c>
      <c r="AH32" s="442">
        <f>+BS!AI10</f>
        <v>-3073895.5941574085</v>
      </c>
      <c r="AI32" s="442">
        <f>+BS!AJ10</f>
        <v>-3214542.076618738</v>
      </c>
      <c r="AJ32" s="442">
        <f>+BS!AK10</f>
        <v>-3350544.2268301789</v>
      </c>
      <c r="AK32" s="442">
        <f>+BS!AL10</f>
        <v>-3481902.0447917315</v>
      </c>
      <c r="AL32" s="442">
        <f>+BS!AM10</f>
        <v>-3608615.5305033955</v>
      </c>
      <c r="AM32" s="118"/>
      <c r="AN32" s="118"/>
      <c r="AO32" s="118"/>
    </row>
    <row r="33" spans="1:41" ht="15">
      <c r="A33" s="59"/>
      <c r="B33" s="62"/>
      <c r="C33" s="117"/>
      <c r="D33" s="117"/>
      <c r="E33" s="117"/>
      <c r="F33" s="117"/>
      <c r="G33" s="117"/>
      <c r="H33" s="79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</row>
    <row r="34" spans="1:41" ht="15">
      <c r="A34" s="59"/>
      <c r="B34" s="122" t="s">
        <v>65</v>
      </c>
      <c r="C34" s="494">
        <f>+C31+C32</f>
        <v>835097.12671893567</v>
      </c>
      <c r="D34" s="494">
        <f>+D31+D32</f>
        <v>671629.88612817042</v>
      </c>
      <c r="E34" s="494">
        <f>+E31+E32</f>
        <v>510157.64253773936</v>
      </c>
      <c r="F34" s="494">
        <f>+F31+F32</f>
        <v>-114597.38183013513</v>
      </c>
      <c r="G34" s="494">
        <f>+G31+G32</f>
        <v>-237357.40919767547</v>
      </c>
      <c r="H34" s="494">
        <f t="shared" ref="H34:M34" si="8">+H31+H32</f>
        <v>-358124.13168518851</v>
      </c>
      <c r="I34" s="494">
        <f t="shared" si="8"/>
        <v>-476897.58115019707</v>
      </c>
      <c r="J34" s="494">
        <f t="shared" si="8"/>
        <v>-593677.75759270124</v>
      </c>
      <c r="K34" s="494">
        <f t="shared" si="8"/>
        <v>-708514.66101270088</v>
      </c>
      <c r="L34" s="494">
        <f t="shared" si="8"/>
        <v>-821308.29141019611</v>
      </c>
      <c r="M34" s="494">
        <f t="shared" si="8"/>
        <v>-932108.64878518682</v>
      </c>
      <c r="N34" s="494">
        <f>+N31+N32</f>
        <v>-1040915.7331376731</v>
      </c>
      <c r="O34" s="494">
        <f t="shared" ref="O34:AL34" si="9">+O31+O32</f>
        <v>-708738.88417173619</v>
      </c>
      <c r="P34" s="494">
        <f t="shared" si="9"/>
        <v>-939891.88360709161</v>
      </c>
      <c r="Q34" s="494">
        <f t="shared" si="9"/>
        <v>-1149618.8535471261</v>
      </c>
      <c r="R34" s="494">
        <f t="shared" si="9"/>
        <v>-1355419.7939918397</v>
      </c>
      <c r="S34" s="494">
        <f t="shared" si="9"/>
        <v>-1557599.2865964798</v>
      </c>
      <c r="T34" s="494">
        <f t="shared" si="9"/>
        <v>-1756431.6587020112</v>
      </c>
      <c r="U34" s="494">
        <f t="shared" si="9"/>
        <v>-1951919.1591665</v>
      </c>
      <c r="V34" s="494">
        <f t="shared" si="9"/>
        <v>-2144061.7879899461</v>
      </c>
      <c r="W34" s="494">
        <f t="shared" si="9"/>
        <v>-2332861.2372926562</v>
      </c>
      <c r="X34" s="494">
        <f t="shared" si="9"/>
        <v>-2518317.5389321535</v>
      </c>
      <c r="Y34" s="494">
        <f t="shared" si="9"/>
        <v>-2700430.6929084375</v>
      </c>
      <c r="Z34" s="494">
        <f>+Z31+Z32</f>
        <v>-2879200.6992215086</v>
      </c>
      <c r="AA34" s="494">
        <f>+AA31+AA32</f>
        <v>-2132468.3230758584</v>
      </c>
      <c r="AB34" s="494">
        <f t="shared" si="9"/>
        <v>-2300987.7268053615</v>
      </c>
      <c r="AC34" s="494">
        <f t="shared" si="9"/>
        <v>-2464861.074307146</v>
      </c>
      <c r="AD34" s="494">
        <f t="shared" si="9"/>
        <v>-2624088.3655812126</v>
      </c>
      <c r="AE34" s="494">
        <f t="shared" si="9"/>
        <v>-2778669.6006275606</v>
      </c>
      <c r="AF34" s="494">
        <f t="shared" si="9"/>
        <v>-2928604.7794461902</v>
      </c>
      <c r="AG34" s="494">
        <f t="shared" si="9"/>
        <v>-3073895.5941574085</v>
      </c>
      <c r="AH34" s="494">
        <f t="shared" si="9"/>
        <v>-3214542.076618738</v>
      </c>
      <c r="AI34" s="494">
        <f t="shared" si="9"/>
        <v>-3350544.2268301789</v>
      </c>
      <c r="AJ34" s="494">
        <f t="shared" si="9"/>
        <v>-3481902.0447917315</v>
      </c>
      <c r="AK34" s="494">
        <f t="shared" si="9"/>
        <v>-3608615.5305033955</v>
      </c>
      <c r="AL34" s="494">
        <f t="shared" si="9"/>
        <v>-3730684.6839651708</v>
      </c>
      <c r="AM34" s="145"/>
      <c r="AN34" s="145"/>
      <c r="AO34" s="145"/>
    </row>
    <row r="35" spans="1:41" ht="15">
      <c r="A35" s="59"/>
      <c r="B35" s="58"/>
      <c r="C35" s="79"/>
      <c r="D35" s="79"/>
      <c r="E35" s="79"/>
      <c r="F35" s="79"/>
      <c r="G35" s="79"/>
      <c r="H35" s="79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</row>
    <row r="36" spans="1:41" ht="15">
      <c r="A36" s="59"/>
      <c r="B36" s="58" t="s">
        <v>503</v>
      </c>
      <c r="C36" s="123">
        <f>+Assumptions!$C$16</f>
        <v>1400</v>
      </c>
      <c r="D36" s="123">
        <f>+Assumptions!$C$16</f>
        <v>1400</v>
      </c>
      <c r="E36" s="123">
        <f>+Assumptions!$C$16</f>
        <v>1400</v>
      </c>
      <c r="F36" s="123">
        <f>+Assumptions!$C$16</f>
        <v>1400</v>
      </c>
      <c r="G36" s="123">
        <f>+Assumptions!$C$16</f>
        <v>1400</v>
      </c>
      <c r="H36" s="123">
        <f>+Assumptions!$C$16</f>
        <v>1400</v>
      </c>
      <c r="I36" s="123">
        <f>+Assumptions!$C$16</f>
        <v>1400</v>
      </c>
      <c r="J36" s="123">
        <f>+Assumptions!$C$16</f>
        <v>1400</v>
      </c>
      <c r="K36" s="123">
        <f>+Assumptions!$C$16</f>
        <v>1400</v>
      </c>
      <c r="L36" s="123">
        <f>+Assumptions!$C$16</f>
        <v>1400</v>
      </c>
      <c r="M36" s="123">
        <f>+Assumptions!$C$16</f>
        <v>1400</v>
      </c>
      <c r="N36" s="123">
        <f>+Assumptions!$C$16</f>
        <v>1400</v>
      </c>
      <c r="O36" s="123">
        <f>+Assumptions!$C$16</f>
        <v>1400</v>
      </c>
      <c r="P36" s="123">
        <f>+Assumptions!$C$16</f>
        <v>1400</v>
      </c>
      <c r="Q36" s="123">
        <f>+Assumptions!$C$16</f>
        <v>1400</v>
      </c>
      <c r="R36" s="123">
        <f>+Assumptions!$C$16</f>
        <v>1400</v>
      </c>
      <c r="S36" s="123">
        <f>+Assumptions!$C$16</f>
        <v>1400</v>
      </c>
      <c r="T36" s="123">
        <f>+Assumptions!$C$16</f>
        <v>1400</v>
      </c>
      <c r="U36" s="123">
        <f>+Assumptions!$C$16</f>
        <v>1400</v>
      </c>
      <c r="V36" s="123">
        <f>+Assumptions!$C$16</f>
        <v>1400</v>
      </c>
      <c r="W36" s="123">
        <f>+Assumptions!$C$16</f>
        <v>1400</v>
      </c>
      <c r="X36" s="123">
        <f>+Assumptions!$C$16</f>
        <v>1400</v>
      </c>
      <c r="Y36" s="123">
        <f>+Assumptions!$C$16</f>
        <v>1400</v>
      </c>
      <c r="Z36" s="123">
        <f>+Assumptions!$C$16</f>
        <v>1400</v>
      </c>
      <c r="AA36" s="123">
        <f>+Assumptions!$C$16</f>
        <v>1400</v>
      </c>
      <c r="AB36" s="123">
        <f>+Assumptions!$C$16</f>
        <v>1400</v>
      </c>
      <c r="AC36" s="123">
        <f>+Assumptions!$C$16</f>
        <v>1400</v>
      </c>
      <c r="AD36" s="123">
        <f>+Assumptions!$C$16</f>
        <v>1400</v>
      </c>
      <c r="AE36" s="123">
        <f>+Assumptions!$C$16</f>
        <v>1400</v>
      </c>
      <c r="AF36" s="123">
        <f>+Assumptions!$C$16</f>
        <v>1400</v>
      </c>
      <c r="AG36" s="123">
        <f>+Assumptions!$C$16</f>
        <v>1400</v>
      </c>
      <c r="AH36" s="123">
        <f>+Assumptions!$C$16</f>
        <v>1400</v>
      </c>
      <c r="AI36" s="123">
        <f>+Assumptions!$C$16</f>
        <v>1400</v>
      </c>
      <c r="AJ36" s="123">
        <f>+Assumptions!$C$16</f>
        <v>1400</v>
      </c>
      <c r="AK36" s="123">
        <f>+Assumptions!$C$16</f>
        <v>1400</v>
      </c>
      <c r="AL36" s="123">
        <f>+Assumptions!$C$16</f>
        <v>1400</v>
      </c>
      <c r="AM36" s="495"/>
      <c r="AN36" s="495"/>
      <c r="AO36" s="495"/>
    </row>
    <row r="37" spans="1:41" ht="15">
      <c r="A37" s="59"/>
      <c r="B37" s="58"/>
      <c r="C37" s="58"/>
      <c r="D37" s="58"/>
      <c r="E37" s="58"/>
      <c r="F37" s="58"/>
      <c r="G37" s="58"/>
      <c r="H37" s="79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</row>
    <row r="38" spans="1:41" ht="15">
      <c r="A38" s="59"/>
      <c r="B38" s="66" t="s">
        <v>516</v>
      </c>
      <c r="C38" s="497">
        <f>+C34-C36</f>
        <v>833697.12671893567</v>
      </c>
      <c r="D38" s="497">
        <f>+D34-D36</f>
        <v>670229.88612817042</v>
      </c>
      <c r="E38" s="497">
        <f t="shared" ref="E38:N38" si="10">+E34-E36</f>
        <v>508757.64253773936</v>
      </c>
      <c r="F38" s="497">
        <f t="shared" si="10"/>
        <v>-115997.38183013513</v>
      </c>
      <c r="G38" s="497">
        <f t="shared" si="10"/>
        <v>-238757.40919767547</v>
      </c>
      <c r="H38" s="497">
        <f t="shared" si="10"/>
        <v>-359524.13168518851</v>
      </c>
      <c r="I38" s="497">
        <f>+I34-I36</f>
        <v>-478297.58115019707</v>
      </c>
      <c r="J38" s="497">
        <f t="shared" si="10"/>
        <v>-595077.75759270124</v>
      </c>
      <c r="K38" s="497">
        <f t="shared" si="10"/>
        <v>-709914.66101270088</v>
      </c>
      <c r="L38" s="497">
        <f t="shared" si="10"/>
        <v>-822708.29141019611</v>
      </c>
      <c r="M38" s="497">
        <f t="shared" si="10"/>
        <v>-933508.64878518682</v>
      </c>
      <c r="N38" s="497">
        <f t="shared" si="10"/>
        <v>-1042315.7331376731</v>
      </c>
      <c r="O38" s="497">
        <f t="shared" ref="O38:AL38" si="11">+O34-O36</f>
        <v>-710138.88417173619</v>
      </c>
      <c r="P38" s="497">
        <f t="shared" si="11"/>
        <v>-941291.88360709161</v>
      </c>
      <c r="Q38" s="497">
        <f t="shared" si="11"/>
        <v>-1151018.8535471261</v>
      </c>
      <c r="R38" s="497">
        <f t="shared" si="11"/>
        <v>-1356819.7939918397</v>
      </c>
      <c r="S38" s="497">
        <f t="shared" si="11"/>
        <v>-1558999.2865964798</v>
      </c>
      <c r="T38" s="497">
        <f t="shared" si="11"/>
        <v>-1757831.6587020112</v>
      </c>
      <c r="U38" s="497">
        <f t="shared" si="11"/>
        <v>-1953319.1591665</v>
      </c>
      <c r="V38" s="497">
        <f t="shared" si="11"/>
        <v>-2145461.7879899461</v>
      </c>
      <c r="W38" s="497">
        <f t="shared" si="11"/>
        <v>-2334261.2372926562</v>
      </c>
      <c r="X38" s="497">
        <f t="shared" si="11"/>
        <v>-2519717.5389321535</v>
      </c>
      <c r="Y38" s="497">
        <f t="shared" si="11"/>
        <v>-2701830.6929084375</v>
      </c>
      <c r="Z38" s="497">
        <f t="shared" si="11"/>
        <v>-2880600.6992215086</v>
      </c>
      <c r="AA38" s="497">
        <f t="shared" si="11"/>
        <v>-2133868.3230758584</v>
      </c>
      <c r="AB38" s="497">
        <f t="shared" si="11"/>
        <v>-2302387.7268053615</v>
      </c>
      <c r="AC38" s="497">
        <f t="shared" si="11"/>
        <v>-2466261.074307146</v>
      </c>
      <c r="AD38" s="497">
        <f t="shared" si="11"/>
        <v>-2625488.3655812126</v>
      </c>
      <c r="AE38" s="497">
        <f t="shared" si="11"/>
        <v>-2780069.6006275606</v>
      </c>
      <c r="AF38" s="497">
        <f t="shared" si="11"/>
        <v>-2930004.7794461902</v>
      </c>
      <c r="AG38" s="497">
        <f t="shared" si="11"/>
        <v>-3075295.5941574085</v>
      </c>
      <c r="AH38" s="497">
        <f t="shared" si="11"/>
        <v>-3215942.076618738</v>
      </c>
      <c r="AI38" s="497">
        <f t="shared" si="11"/>
        <v>-3351944.2268301789</v>
      </c>
      <c r="AJ38" s="497">
        <f t="shared" si="11"/>
        <v>-3483302.0447917315</v>
      </c>
      <c r="AK38" s="497">
        <f t="shared" si="11"/>
        <v>-3610015.5305033955</v>
      </c>
      <c r="AL38" s="497">
        <f t="shared" si="11"/>
        <v>-3732084.6839651708</v>
      </c>
      <c r="AM38" s="496"/>
      <c r="AN38" s="496"/>
      <c r="AO38" s="496"/>
    </row>
    <row r="39" spans="1:41" ht="15">
      <c r="A39" s="59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</row>
    <row r="40" spans="1:41" ht="15">
      <c r="A40" s="59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</row>
    <row r="41" spans="1:41" ht="15">
      <c r="A41" s="59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</row>
    <row r="42" spans="1:41" ht="15">
      <c r="A42" s="5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</row>
    <row r="109" spans="1:42" s="12" customFormat="1">
      <c r="A109" s="18">
        <v>2</v>
      </c>
      <c r="AM109" s="16"/>
      <c r="AN109" s="16"/>
      <c r="AO109" s="16"/>
      <c r="AP109" s="16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P98"/>
  <sheetViews>
    <sheetView showGridLines="0" zoomScale="110" zoomScaleNormal="100" workbookViewId="0">
      <selection activeCell="D31" sqref="D31"/>
    </sheetView>
  </sheetViews>
  <sheetFormatPr baseColWidth="10" defaultColWidth="8.83203125" defaultRowHeight="14"/>
  <cols>
    <col min="1" max="1" width="3.1640625" style="21" customWidth="1"/>
    <col min="2" max="2" width="33.83203125" style="16" customWidth="1"/>
    <col min="3" max="7" width="13.83203125" style="16" customWidth="1"/>
    <col min="8" max="14" width="14" style="16" customWidth="1"/>
    <col min="15" max="15" width="13.83203125" style="16" customWidth="1"/>
    <col min="16" max="16384" width="8.83203125" style="16"/>
  </cols>
  <sheetData>
    <row r="1" spans="1:16" s="567" customFormat="1" ht="16">
      <c r="A1" s="349">
        <v>1</v>
      </c>
      <c r="B1" s="319" t="s">
        <v>232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/>
      <c r="P1" s="296"/>
    </row>
    <row r="2" spans="1:16" s="11" customFormat="1" ht="16">
      <c r="A2" s="6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294"/>
    </row>
    <row r="3" spans="1:16" s="11" customFormat="1" ht="17" thickBot="1">
      <c r="A3" s="65"/>
      <c r="B3" s="341" t="s">
        <v>160</v>
      </c>
      <c r="C3" s="344">
        <f>'Revenue &amp; COGS Building'!O12</f>
        <v>46053</v>
      </c>
      <c r="D3" s="344">
        <f>'Revenue &amp; COGS Building'!P12</f>
        <v>46054</v>
      </c>
      <c r="E3" s="344">
        <f>'Revenue &amp; COGS Building'!Q12</f>
        <v>46082</v>
      </c>
      <c r="F3" s="344">
        <f>'Revenue &amp; COGS Building'!R12</f>
        <v>46113</v>
      </c>
      <c r="G3" s="344">
        <f>'Revenue &amp; COGS Building'!S12</f>
        <v>46143</v>
      </c>
      <c r="H3" s="344">
        <f>'Revenue &amp; COGS Building'!T12</f>
        <v>46174</v>
      </c>
      <c r="I3" s="344">
        <f>'Revenue &amp; COGS Building'!U12</f>
        <v>46204</v>
      </c>
      <c r="J3" s="344">
        <f>'Revenue &amp; COGS Building'!V12</f>
        <v>46235</v>
      </c>
      <c r="K3" s="344">
        <f>'Revenue &amp; COGS Building'!W12</f>
        <v>46266</v>
      </c>
      <c r="L3" s="344">
        <f>'Revenue &amp; COGS Building'!X12</f>
        <v>46296</v>
      </c>
      <c r="M3" s="344">
        <f>'Revenue &amp; COGS Building'!Y12</f>
        <v>46327</v>
      </c>
      <c r="N3" s="344">
        <f>'Revenue &amp; COGS Building'!Z12</f>
        <v>46357</v>
      </c>
      <c r="O3" s="56"/>
      <c r="P3" s="294"/>
    </row>
    <row r="4" spans="1:16" s="11" customFormat="1" ht="16">
      <c r="A4" s="65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6"/>
      <c r="P4" s="294"/>
    </row>
    <row r="5" spans="1:16" s="11" customFormat="1" ht="16">
      <c r="A5" s="65"/>
      <c r="B5" s="57" t="s">
        <v>24</v>
      </c>
      <c r="C5" s="147">
        <f>+PL!E8/PL!$E$8</f>
        <v>1</v>
      </c>
      <c r="D5" s="147">
        <f>+PL!F8/PL!$F$8</f>
        <v>1</v>
      </c>
      <c r="E5" s="147">
        <f>+PL!G8/PL!$G$8</f>
        <v>1</v>
      </c>
      <c r="F5" s="147">
        <f>+PL!H8/PL!$H$8</f>
        <v>1</v>
      </c>
      <c r="G5" s="147">
        <f>+PL!I8/PL!I8</f>
        <v>1</v>
      </c>
      <c r="H5" s="147">
        <f>+PL!J8/PL!J8</f>
        <v>1</v>
      </c>
      <c r="I5" s="147">
        <f>+PL!K8/PL!K8</f>
        <v>1</v>
      </c>
      <c r="J5" s="147">
        <f>+PL!L8/PL!L8</f>
        <v>1</v>
      </c>
      <c r="K5" s="147">
        <f>+PL!M8/PL!M8</f>
        <v>1</v>
      </c>
      <c r="L5" s="147">
        <f>+PL!N8/PL!N8</f>
        <v>1</v>
      </c>
      <c r="M5" s="147">
        <f>+PL!O8/PL!O8</f>
        <v>1</v>
      </c>
      <c r="N5" s="147">
        <f>+PL!P8/PL!P8</f>
        <v>1</v>
      </c>
      <c r="O5" s="56"/>
      <c r="P5" s="294"/>
    </row>
    <row r="6" spans="1:16" s="11" customFormat="1" ht="16">
      <c r="A6" s="65"/>
      <c r="B6" s="130" t="s">
        <v>25</v>
      </c>
      <c r="C6" s="147">
        <f>+PL!E9/PL!$E$8</f>
        <v>0.6415689655172413</v>
      </c>
      <c r="D6" s="147">
        <f>+PL!F9/PL!$F$8</f>
        <v>0.65561294057113451</v>
      </c>
      <c r="E6" s="147">
        <f>+PL!G9/PL!$G$8</f>
        <v>0.66396901928600749</v>
      </c>
      <c r="F6" s="147">
        <f>+PL!H9/PL!$H$8</f>
        <v>0.66951074901893881</v>
      </c>
      <c r="G6" s="147">
        <f>+PL!I9/PL!$I$8</f>
        <v>0.67345502336448615</v>
      </c>
      <c r="H6" s="147">
        <f>+PL!J9/PL!$I$8</f>
        <v>0.77378869742990652</v>
      </c>
      <c r="I6" s="147">
        <f>+PL!K9/PL!$I$8</f>
        <v>0.87412237149532712</v>
      </c>
      <c r="J6" s="147">
        <f>+PL!L9/PL!$I$8</f>
        <v>0.97445604556074783</v>
      </c>
      <c r="K6" s="147">
        <f>+PL!M9/PL!$I$8</f>
        <v>1.0747897196261684</v>
      </c>
      <c r="L6" s="147">
        <f>+PL!N9/PL!$I$8</f>
        <v>1.1751233936915888</v>
      </c>
      <c r="M6" s="147">
        <f>+PL!O9/PL!$I$8</f>
        <v>1.2754570677570094</v>
      </c>
      <c r="N6" s="147">
        <f>+PL!P9/PL!$I$8</f>
        <v>1.3757907418224302</v>
      </c>
      <c r="O6" s="56"/>
      <c r="P6" s="294"/>
    </row>
    <row r="7" spans="1:16" s="11" customFormat="1" ht="16">
      <c r="A7" s="65"/>
      <c r="B7" s="130" t="s">
        <v>26</v>
      </c>
      <c r="C7" s="147">
        <f>+PL!E10/PL!$E$8</f>
        <v>3.7241379310344824E-2</v>
      </c>
      <c r="D7" s="147">
        <f>+PL!F10/PL!$F$8</f>
        <v>2.7784924105994337E-2</v>
      </c>
      <c r="E7" s="147">
        <f>+PL!G10/PL!$G$8</f>
        <v>2.2158391464915883E-2</v>
      </c>
      <c r="F7" s="147">
        <f>+PL!H10/PL!$H$8</f>
        <v>1.8426889609281693E-2</v>
      </c>
      <c r="G7" s="147">
        <f>+PL!I10/PL!$I$8</f>
        <v>1.5771028037383179E-2</v>
      </c>
      <c r="H7" s="147">
        <f>+PL!J10/PL!$I$8</f>
        <v>1.5771028037383179E-2</v>
      </c>
      <c r="I7" s="147">
        <f>+PL!K10/PL!$I$8</f>
        <v>1.5771028037383179E-2</v>
      </c>
      <c r="J7" s="147">
        <f>+PL!L10/PL!$I$8</f>
        <v>1.5771028037383179E-2</v>
      </c>
      <c r="K7" s="147">
        <f>+PL!M10/PL!$I$8</f>
        <v>1.5771028037383179E-2</v>
      </c>
      <c r="L7" s="147">
        <f>+PL!N10/PL!$I$8</f>
        <v>1.5771028037383179E-2</v>
      </c>
      <c r="M7" s="147">
        <f>+PL!O10/PL!$I$8</f>
        <v>1.5771028037383179E-2</v>
      </c>
      <c r="N7" s="147">
        <f>+PL!P10/PL!$I$8</f>
        <v>1.5771028037383179E-2</v>
      </c>
      <c r="O7" s="56"/>
      <c r="P7" s="294"/>
    </row>
    <row r="8" spans="1:16" s="11" customFormat="1" ht="16">
      <c r="A8" s="65"/>
      <c r="B8" s="57" t="s">
        <v>27</v>
      </c>
      <c r="C8" s="147">
        <f>+PL!E11/PL!$E$8</f>
        <v>0.67881034482758618</v>
      </c>
      <c r="D8" s="147">
        <f>+PL!F11/PL!$F$8</f>
        <v>0.68339786467712882</v>
      </c>
      <c r="E8" s="147">
        <f>+PL!G11/PL!$G$8</f>
        <v>0.68612741075092332</v>
      </c>
      <c r="F8" s="147">
        <f>+PL!H11/PL!$H$8</f>
        <v>0.68793763862822055</v>
      </c>
      <c r="G8" s="147">
        <f>+PL!I11/PL!$I$8</f>
        <v>0.68922605140186932</v>
      </c>
      <c r="H8" s="147">
        <f>+PL!J11/PL!$I$8</f>
        <v>0.7895597254672897</v>
      </c>
      <c r="I8" s="147">
        <f>+PL!K11/PL!$I$8</f>
        <v>0.88989339953271029</v>
      </c>
      <c r="J8" s="147">
        <f>+PL!L11/PL!$I$8</f>
        <v>0.990227073598131</v>
      </c>
      <c r="K8" s="147">
        <f>+PL!M11/PL!$I$8</f>
        <v>1.0905607476635515</v>
      </c>
      <c r="L8" s="147">
        <f>+PL!N11/PL!$I$8</f>
        <v>1.1908944217289721</v>
      </c>
      <c r="M8" s="147">
        <f>+PL!O11/PL!$I$8</f>
        <v>1.2912280957943925</v>
      </c>
      <c r="N8" s="147">
        <f>+PL!P11/PL!$I$8</f>
        <v>1.3915617698598135</v>
      </c>
      <c r="O8" s="56"/>
      <c r="P8" s="294"/>
    </row>
    <row r="9" spans="1:16" s="11" customFormat="1" ht="16">
      <c r="A9" s="65"/>
      <c r="B9" s="5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56"/>
      <c r="P9" s="294"/>
    </row>
    <row r="10" spans="1:16" s="11" customFormat="1" ht="16">
      <c r="A10" s="65"/>
      <c r="B10" s="57" t="s">
        <v>28</v>
      </c>
      <c r="C10" s="148">
        <f>+PL!E13/PL!$E$8</f>
        <v>0.32118965517241388</v>
      </c>
      <c r="D10" s="148">
        <f>+PL!F13/PL!$F$8</f>
        <v>0.31660213532287118</v>
      </c>
      <c r="E10" s="148">
        <f>+PL!G13/PL!$G$8</f>
        <v>0.31387258924907663</v>
      </c>
      <c r="F10" s="148">
        <f>+PL!H13/PL!$H$8</f>
        <v>0.31206236137177945</v>
      </c>
      <c r="G10" s="148">
        <f>+PL!I13/PL!$I$8</f>
        <v>0.31077394859813062</v>
      </c>
      <c r="H10" s="148">
        <f>+PL!J13/PL!$I$8</f>
        <v>0.35442391939252349</v>
      </c>
      <c r="I10" s="148">
        <f>+PL!K13/PL!$I$8</f>
        <v>0.39807389018691591</v>
      </c>
      <c r="J10" s="148">
        <f>+PL!L13/PL!$I$8</f>
        <v>0.44172386098130834</v>
      </c>
      <c r="K10" s="148">
        <f>+PL!M13/PL!$I$8</f>
        <v>0.48537383177570076</v>
      </c>
      <c r="L10" s="148">
        <f>+PL!N13/PL!$I$8</f>
        <v>0.52902380257009352</v>
      </c>
      <c r="M10" s="148">
        <f>+PL!O13/PL!$I$8</f>
        <v>0.57267377336448622</v>
      </c>
      <c r="N10" s="148">
        <f>+PL!P13/PL!$I$8</f>
        <v>0.61632374415887814</v>
      </c>
      <c r="O10" s="56"/>
      <c r="P10" s="294"/>
    </row>
    <row r="11" spans="1:16" s="11" customFormat="1" ht="16">
      <c r="A11" s="65"/>
      <c r="B11" s="5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56"/>
      <c r="P11" s="294"/>
    </row>
    <row r="12" spans="1:16" s="11" customFormat="1" ht="16">
      <c r="A12" s="65"/>
      <c r="B12" s="130" t="s">
        <v>29</v>
      </c>
      <c r="C12" s="147">
        <f>+PL!E15/PL!$E$8</f>
        <v>0.23444877742946699</v>
      </c>
      <c r="D12" s="147">
        <f>+PL!F15/PL!$F$8</f>
        <v>0.18980590312697335</v>
      </c>
      <c r="E12" s="147">
        <f>+PL!G15/PL!$G$8</f>
        <v>0.1632436676987355</v>
      </c>
      <c r="F12" s="147">
        <f>+PL!H15/PL!$H$8</f>
        <v>0.14562766204960367</v>
      </c>
      <c r="G12" s="147">
        <f>+PL!I15/PL!$I$8</f>
        <v>0.13308963466440105</v>
      </c>
      <c r="H12" s="147">
        <f>+PL!J15/PL!$I$8</f>
        <v>0.1415323120220901</v>
      </c>
      <c r="I12" s="147">
        <f>+PL!K15/PL!$I$8</f>
        <v>0.1499749893797791</v>
      </c>
      <c r="J12" s="147">
        <f>+PL!L15/PL!$I$8</f>
        <v>0.15841766673746813</v>
      </c>
      <c r="K12" s="147">
        <f>+PL!M15/PL!$I$8</f>
        <v>0.16686034409515713</v>
      </c>
      <c r="L12" s="147">
        <f>+PL!N15/PL!$I$8</f>
        <v>0.17530302145284621</v>
      </c>
      <c r="M12" s="147">
        <f>+PL!O15/PL!$I$8</f>
        <v>0.18374569881053529</v>
      </c>
      <c r="N12" s="147">
        <f>+PL!P15/PL!$I$8</f>
        <v>0.19218837616822432</v>
      </c>
      <c r="O12" s="56"/>
      <c r="P12" s="294"/>
    </row>
    <row r="13" spans="1:16" s="11" customFormat="1" ht="16">
      <c r="A13" s="65"/>
      <c r="B13" s="130" t="s">
        <v>30</v>
      </c>
      <c r="C13" s="147">
        <f>+PL!E16/PL!$E$8</f>
        <v>4.0553931034482771</v>
      </c>
      <c r="D13" s="147">
        <f>+PL!F16/PL!$F$8</f>
        <v>3.0256341651659384</v>
      </c>
      <c r="E13" s="147">
        <f>+PL!G16/PL!$G$8</f>
        <v>2.4129339351661887</v>
      </c>
      <c r="F13" s="147">
        <f>+PL!H16/PL!$H$8</f>
        <v>2.0065927316157657</v>
      </c>
      <c r="G13" s="147">
        <f>+PL!I16/PL!$I$8</f>
        <v>1.7173831775700941</v>
      </c>
      <c r="H13" s="147">
        <f>+PL!J16/PL!$I$8</f>
        <v>1.7173831775700941</v>
      </c>
      <c r="I13" s="147">
        <f>+PL!K16/PL!$I$8</f>
        <v>1.7173831775700941</v>
      </c>
      <c r="J13" s="147">
        <f>+PL!L16/PL!$I$8</f>
        <v>1.7173831775700941</v>
      </c>
      <c r="K13" s="147">
        <f>+PL!M16/PL!$I$8</f>
        <v>1.7173831775700941</v>
      </c>
      <c r="L13" s="147">
        <f>+PL!N16/PL!$I$8</f>
        <v>1.7173831775700941</v>
      </c>
      <c r="M13" s="147">
        <f>+PL!O16/PL!$I$8</f>
        <v>1.7173831775700941</v>
      </c>
      <c r="N13" s="147">
        <f>+PL!P16/PL!$I$8</f>
        <v>1.7173831775700941</v>
      </c>
      <c r="O13" s="56"/>
      <c r="P13" s="294"/>
    </row>
    <row r="14" spans="1:16" s="11" customFormat="1" ht="16">
      <c r="A14" s="65"/>
      <c r="B14" s="57" t="s">
        <v>31</v>
      </c>
      <c r="C14" s="147">
        <f>+PL!E17/PL!$E$8</f>
        <v>4.2898418808777441</v>
      </c>
      <c r="D14" s="147">
        <f>+PL!F17/PL!$F$8</f>
        <v>3.2154400682929118</v>
      </c>
      <c r="E14" s="147">
        <f>+PL!G17/PL!$G$8</f>
        <v>2.5761776028649241</v>
      </c>
      <c r="F14" s="147">
        <f>+PL!H17/PL!$H$8</f>
        <v>2.1522203936653694</v>
      </c>
      <c r="G14" s="147">
        <f>+PL!I17/PL!$I$8</f>
        <v>1.8504728122344951</v>
      </c>
      <c r="H14" s="147">
        <f>+PL!J17/PL!$I$8</f>
        <v>1.858915489592184</v>
      </c>
      <c r="I14" s="147">
        <f>+PL!K17/PL!$I$8</f>
        <v>1.8673581669498729</v>
      </c>
      <c r="J14" s="147">
        <f>+PL!L17/PL!$I$8</f>
        <v>1.875800844307562</v>
      </c>
      <c r="K14" s="147">
        <f>+PL!M17/PL!$I$8</f>
        <v>1.8842435216652511</v>
      </c>
      <c r="L14" s="147">
        <f>+PL!N17/PL!$I$8</f>
        <v>1.8926861990229402</v>
      </c>
      <c r="M14" s="147">
        <f>+PL!O17/PL!$I$8</f>
        <v>1.9011288763806293</v>
      </c>
      <c r="N14" s="147">
        <f>+PL!P17/PL!$I$8</f>
        <v>1.9095715537383182</v>
      </c>
      <c r="O14" s="56"/>
      <c r="P14" s="294"/>
    </row>
    <row r="15" spans="1:16" s="11" customFormat="1" ht="16">
      <c r="A15" s="65"/>
      <c r="B15" s="5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56"/>
      <c r="P15" s="294"/>
    </row>
    <row r="16" spans="1:16" ht="16">
      <c r="A16" s="59"/>
      <c r="B16" s="57" t="s">
        <v>32</v>
      </c>
      <c r="C16" s="147">
        <f>+PL!E25/PL!$E$8</f>
        <v>-3.970559567121521</v>
      </c>
      <c r="D16" s="147">
        <f>+PL!F25/PL!$F$8</f>
        <v>-2.9007520207389512</v>
      </c>
      <c r="E16" s="147">
        <f>+PL!G25/PL!$G$8</f>
        <v>-2.2642231154231016</v>
      </c>
      <c r="F16" s="147">
        <f>+PL!H25/PL!$H$8</f>
        <v>-1.8420787962006635</v>
      </c>
      <c r="G16" s="147">
        <f>+PL!I25/PL!$I$8</f>
        <v>-1.5416215222681053</v>
      </c>
      <c r="H16" s="147">
        <f>+PL!J25/PL!$I$8</f>
        <v>-1.5066926725746854</v>
      </c>
      <c r="I16" s="147">
        <f>+PL!K25/PL!$I$8</f>
        <v>-1.4717638228812664</v>
      </c>
      <c r="J16" s="147">
        <f>+PL!L25/PL!$I$8</f>
        <v>-1.4368349731878474</v>
      </c>
      <c r="K16" s="147">
        <f>+PL!M25/PL!$I$8</f>
        <v>-1.4027822917187271</v>
      </c>
      <c r="L16" s="147">
        <f>+PL!N25/PL!$I$8</f>
        <v>-1.3669772738010089</v>
      </c>
      <c r="M16" s="147">
        <f>+PL!O25/PL!$I$8</f>
        <v>-1.3320484241075894</v>
      </c>
      <c r="N16" s="147">
        <f>+PL!P25/PL!$I$8</f>
        <v>-1.2971195744141708</v>
      </c>
      <c r="O16" s="58"/>
      <c r="P16" s="60"/>
    </row>
    <row r="17" spans="1:16" ht="16">
      <c r="A17" s="59"/>
      <c r="B17" s="5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58"/>
      <c r="P17" s="60"/>
    </row>
    <row r="18" spans="1:16" ht="16">
      <c r="A18" s="59"/>
      <c r="B18" s="130" t="s">
        <v>33</v>
      </c>
      <c r="C18" s="147">
        <f>+PL!E27/PL!$E$8</f>
        <v>1.1999999999999999E-3</v>
      </c>
      <c r="D18" s="147">
        <f>+PL!F27/PL!$F$8</f>
        <v>8.9529199897092876E-4</v>
      </c>
      <c r="E18" s="147">
        <f>+PL!G27/PL!$G$8</f>
        <v>7.1399261386951175E-4</v>
      </c>
      <c r="F18" s="147">
        <f>+PL!H27/PL!$H$8</f>
        <v>5.9375533185463238E-4</v>
      </c>
      <c r="G18" s="147">
        <f>+PL!I27/PL!$I$8</f>
        <v>5.0817757009345797E-4</v>
      </c>
      <c r="H18" s="147">
        <f>+PL!J27/PL!$I$8</f>
        <v>5.0817757009345797E-4</v>
      </c>
      <c r="I18" s="147">
        <f>+PL!K27/PL!$I$8</f>
        <v>5.0817757009345797E-4</v>
      </c>
      <c r="J18" s="147">
        <f>+PL!L27/PL!$I$8</f>
        <v>5.0817757009345797E-4</v>
      </c>
      <c r="K18" s="147">
        <f>+PL!M27/PL!$I$8</f>
        <v>5.0817757009345797E-4</v>
      </c>
      <c r="L18" s="147">
        <f>+PL!N27/PL!$I$8</f>
        <v>5.0817757009345797E-4</v>
      </c>
      <c r="M18" s="147">
        <f>+PL!O27/PL!$I$8</f>
        <v>5.0817757009345797E-4</v>
      </c>
      <c r="N18" s="147">
        <f>+PL!P27/PL!$I$8</f>
        <v>5.0817757009345797E-4</v>
      </c>
      <c r="O18" s="58"/>
      <c r="P18" s="60"/>
    </row>
    <row r="19" spans="1:16" ht="16">
      <c r="A19" s="59"/>
      <c r="B19" s="130" t="s">
        <v>34</v>
      </c>
      <c r="C19" s="147">
        <f>+PL!E31/PL!$E$8</f>
        <v>2.8748563218390806</v>
      </c>
      <c r="D19" s="147">
        <f>+PL!F31/PL!$F$8</f>
        <v>2.1448632192779353</v>
      </c>
      <c r="E19" s="147">
        <f>+PL!G31/PL!$G$8</f>
        <v>1.7105218164409797</v>
      </c>
      <c r="F19" s="147">
        <f>+PL!H31/PL!$H$8</f>
        <v>0.71155377353125193</v>
      </c>
      <c r="G19" s="147">
        <f>+PL!I31/PL!$I$8</f>
        <v>0.60899776090342694</v>
      </c>
      <c r="H19" s="147">
        <f>+PL!J31/PL!$I$8</f>
        <v>0.60899776090342694</v>
      </c>
      <c r="I19" s="147">
        <f>+PL!K31/PL!$I$8</f>
        <v>0.60899776090342694</v>
      </c>
      <c r="J19" s="147">
        <f>+PL!L31/PL!$I$8</f>
        <v>0.60899776090342694</v>
      </c>
      <c r="K19" s="147">
        <f>+PL!M31/PL!$I$8</f>
        <v>0.60899776090342694</v>
      </c>
      <c r="L19" s="147">
        <f>+PL!N31/PL!$I$8</f>
        <v>0.60899776090342694</v>
      </c>
      <c r="M19" s="147">
        <f>+PL!O31/PL!$I$8</f>
        <v>0.60899776090342694</v>
      </c>
      <c r="N19" s="147">
        <f>+PL!P31/PL!$I$8</f>
        <v>0.60899776090342694</v>
      </c>
      <c r="O19" s="58"/>
      <c r="P19" s="60"/>
    </row>
    <row r="20" spans="1:16" ht="16">
      <c r="A20" s="59"/>
      <c r="B20" s="130" t="s">
        <v>35</v>
      </c>
      <c r="C20" s="147">
        <f>+PL!E32/PL!$E$8</f>
        <v>0</v>
      </c>
      <c r="D20" s="147">
        <f>+PL!F32/PL!$F$8</f>
        <v>0</v>
      </c>
      <c r="E20" s="147">
        <f>+PL!G32/PL!$G$8</f>
        <v>0</v>
      </c>
      <c r="F20" s="147">
        <f>+PL!H32/PL!$H$8</f>
        <v>0</v>
      </c>
      <c r="G20" s="147">
        <f>+PL!I32/PL!$I$8</f>
        <v>0</v>
      </c>
      <c r="H20" s="147">
        <f>+PL!J32/PL!$I$8</f>
        <v>0</v>
      </c>
      <c r="I20" s="147">
        <f>+PL!K32/PL!$I$8</f>
        <v>0</v>
      </c>
      <c r="J20" s="147">
        <f>+PL!L32/PL!$I$8</f>
        <v>0</v>
      </c>
      <c r="K20" s="147">
        <f>+PL!M32/PL!$I$8</f>
        <v>0</v>
      </c>
      <c r="L20" s="147">
        <f>+PL!N32/PL!$I$8</f>
        <v>0</v>
      </c>
      <c r="M20" s="147">
        <f>+PL!O32/PL!$I$8</f>
        <v>0</v>
      </c>
      <c r="N20" s="147">
        <f>+PL!P32/PL!$I$8</f>
        <v>0</v>
      </c>
      <c r="O20" s="58"/>
      <c r="P20" s="60"/>
    </row>
    <row r="21" spans="1:16" ht="16">
      <c r="A21" s="59"/>
      <c r="B21" s="57" t="s">
        <v>36</v>
      </c>
      <c r="C21" s="147">
        <f>+PL!E33/PL!$E$8</f>
        <v>-6.8466158889606019</v>
      </c>
      <c r="D21" s="147">
        <f>+PL!F33/PL!$F$8</f>
        <v>-5.0465105320158568</v>
      </c>
      <c r="E21" s="147">
        <f>+PL!G33/PL!$G$8</f>
        <v>-3.9754589244779508</v>
      </c>
      <c r="F21" s="147">
        <f>+PL!H33/PL!$H$8</f>
        <v>-2.55422632506377</v>
      </c>
      <c r="G21" s="147">
        <f>+PL!I33/PL!$I$8</f>
        <v>-2.151127460741626</v>
      </c>
      <c r="H21" s="147">
        <f>+PL!J33/PL!$I$8</f>
        <v>-2.1161986110482061</v>
      </c>
      <c r="I21" s="147">
        <f>+PL!K33/PL!$I$8</f>
        <v>-2.0812697613547866</v>
      </c>
      <c r="J21" s="147">
        <f>+PL!L33/PL!$I$8</f>
        <v>-2.0463409116613676</v>
      </c>
      <c r="K21" s="147">
        <f>+PL!M33/PL!$I$8</f>
        <v>-2.0122882301922473</v>
      </c>
      <c r="L21" s="147">
        <f>+PL!N33/PL!$I$8</f>
        <v>-1.9764832122745291</v>
      </c>
      <c r="M21" s="147">
        <f>+PL!O33/PL!$I$8</f>
        <v>-1.9415543625811096</v>
      </c>
      <c r="N21" s="147">
        <f>+PL!P33/PL!$I$8</f>
        <v>-1.9066255128876912</v>
      </c>
      <c r="O21" s="58"/>
      <c r="P21" s="60"/>
    </row>
    <row r="22" spans="1:16" ht="16">
      <c r="A22" s="59"/>
      <c r="B22" s="5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58"/>
      <c r="P22" s="60"/>
    </row>
    <row r="23" spans="1:16" ht="16">
      <c r="A23" s="59"/>
      <c r="B23" s="130" t="s">
        <v>37</v>
      </c>
      <c r="C23" s="147">
        <f>+PL!E35/PL!$E$8</f>
        <v>0</v>
      </c>
      <c r="D23" s="147">
        <f>+PL!F35/PL!$F$8</f>
        <v>0</v>
      </c>
      <c r="E23" s="147">
        <f>+PL!G35/PL!$G$8</f>
        <v>0</v>
      </c>
      <c r="F23" s="147">
        <f>+PL!H35/PL!$H$8</f>
        <v>0</v>
      </c>
      <c r="G23" s="147">
        <f>+PL!I35/PL!$I$8</f>
        <v>0</v>
      </c>
      <c r="H23" s="147">
        <f>+PL!J35/PL!$I$8</f>
        <v>0</v>
      </c>
      <c r="I23" s="147">
        <f>+PL!K35/PL!$I$8</f>
        <v>0</v>
      </c>
      <c r="J23" s="147">
        <f>+PL!L35/PL!$I$8</f>
        <v>0</v>
      </c>
      <c r="K23" s="147">
        <f>+PL!M35/PL!$I$8</f>
        <v>0</v>
      </c>
      <c r="L23" s="147">
        <f>+PL!N35/PL!$I$8</f>
        <v>0</v>
      </c>
      <c r="M23" s="147">
        <f>+PL!O35/PL!$I$8</f>
        <v>0</v>
      </c>
      <c r="N23" s="147">
        <f>+PL!P35/PL!$I$8</f>
        <v>0</v>
      </c>
      <c r="O23" s="58"/>
      <c r="P23" s="60"/>
    </row>
    <row r="24" spans="1:16" ht="16">
      <c r="A24" s="59"/>
      <c r="B24" s="5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58"/>
      <c r="P24" s="60"/>
    </row>
    <row r="25" spans="1:16" ht="16">
      <c r="A25" s="59"/>
      <c r="B25" s="57" t="s">
        <v>42</v>
      </c>
      <c r="C25" s="147">
        <f>+PL!E37/PL!$E$8</f>
        <v>-6.8466158889606019</v>
      </c>
      <c r="D25" s="147">
        <f>+PL!F37/PL!$F$8</f>
        <v>-5.0465105320158568</v>
      </c>
      <c r="E25" s="147">
        <f>+PL!G37/PL!$G$8</f>
        <v>-3.9754589244779508</v>
      </c>
      <c r="F25" s="147">
        <f>+PL!H37/PL!$H$8</f>
        <v>-2.55422632506377</v>
      </c>
      <c r="G25" s="147">
        <f>+PL!I37/PL!$I$8</f>
        <v>-2.151127460741626</v>
      </c>
      <c r="H25" s="147">
        <f>+PL!J37/PL!$I$8</f>
        <v>-2.1161986110482061</v>
      </c>
      <c r="I25" s="147">
        <f>+PL!K37/PL!$I$8</f>
        <v>-2.0812697613547866</v>
      </c>
      <c r="J25" s="147">
        <f>+PL!L37/PL!$I$8</f>
        <v>-2.0463409116613676</v>
      </c>
      <c r="K25" s="147">
        <f>+PL!M37/PL!$I$8</f>
        <v>-2.0122882301922473</v>
      </c>
      <c r="L25" s="147">
        <f>+PL!N37/PL!$I$8</f>
        <v>-1.9764832122745291</v>
      </c>
      <c r="M25" s="147">
        <f>+PL!O37/PL!$I$8</f>
        <v>-1.9415543625811096</v>
      </c>
      <c r="N25" s="147">
        <f>+PL!P37/PL!$I$8</f>
        <v>-1.9066255128876912</v>
      </c>
      <c r="O25" s="58"/>
      <c r="P25" s="60"/>
    </row>
    <row r="26" spans="1:16" ht="16">
      <c r="A26" s="59"/>
      <c r="B26" s="68"/>
      <c r="C26" s="75"/>
      <c r="D26" s="75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58"/>
      <c r="P26" s="60"/>
    </row>
    <row r="27" spans="1:16" s="27" customFormat="1" ht="16">
      <c r="A27" s="61"/>
      <c r="B27" s="62"/>
      <c r="C27" s="108"/>
      <c r="D27" s="108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558"/>
    </row>
    <row r="28" spans="1:16" s="27" customFormat="1" ht="16">
      <c r="A28" s="151"/>
      <c r="B28" s="138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558"/>
    </row>
    <row r="29" spans="1:16" s="27" customFormat="1" ht="16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558"/>
    </row>
    <row r="30" spans="1:16" s="27" customFormat="1" ht="16">
      <c r="A30" s="61"/>
      <c r="B30" s="138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62"/>
      <c r="P30" s="558"/>
    </row>
    <row r="31" spans="1:16" s="27" customFormat="1" ht="16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558"/>
    </row>
    <row r="32" spans="1:16" s="27" customFormat="1" ht="16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558"/>
    </row>
    <row r="33" spans="1:16" s="27" customFormat="1" ht="16">
      <c r="A33" s="61"/>
      <c r="B33" s="138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62"/>
      <c r="P33" s="558"/>
    </row>
    <row r="34" spans="1:16" s="27" customFormat="1" ht="16">
      <c r="A34" s="61"/>
      <c r="B34" s="105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62"/>
      <c r="P34" s="558"/>
    </row>
    <row r="35" spans="1:16" s="27" customFormat="1" ht="16">
      <c r="A35" s="61"/>
      <c r="B35" s="105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62"/>
      <c r="P35" s="558"/>
    </row>
    <row r="36" spans="1:16" s="27" customFormat="1" ht="16">
      <c r="A36" s="61"/>
      <c r="B36" s="138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62"/>
      <c r="P36" s="558"/>
    </row>
    <row r="37" spans="1:16" s="27" customFormat="1" ht="16">
      <c r="A37" s="61"/>
      <c r="B37" s="62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62"/>
      <c r="P37" s="558"/>
    </row>
    <row r="38" spans="1:16" s="27" customFormat="1" ht="16">
      <c r="A38" s="61"/>
      <c r="B38" s="13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62"/>
      <c r="P38" s="558"/>
    </row>
    <row r="39" spans="1:16" s="27" customFormat="1" ht="16">
      <c r="A39" s="61"/>
      <c r="B39" s="62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62"/>
      <c r="P39" s="558"/>
    </row>
    <row r="40" spans="1:16" s="27" customFormat="1" ht="16">
      <c r="A40" s="61"/>
      <c r="B40" s="105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62"/>
      <c r="P40" s="558"/>
    </row>
    <row r="41" spans="1:16" s="27" customFormat="1" ht="16">
      <c r="A41" s="61"/>
      <c r="B41" s="105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62"/>
      <c r="P41" s="558"/>
    </row>
    <row r="42" spans="1:16" s="27" customFormat="1" ht="16">
      <c r="A42" s="61"/>
      <c r="B42" s="138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62"/>
      <c r="P42" s="558"/>
    </row>
    <row r="43" spans="1:16" s="27" customFormat="1" ht="16">
      <c r="A43" s="61"/>
      <c r="B43" s="62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62"/>
      <c r="P43" s="558"/>
    </row>
    <row r="44" spans="1:16" s="27" customFormat="1" ht="16">
      <c r="A44" s="61"/>
      <c r="B44" s="138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62"/>
      <c r="P44" s="558"/>
    </row>
    <row r="45" spans="1:16" s="27" customFormat="1" ht="16">
      <c r="A45" s="61"/>
      <c r="B45" s="62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62"/>
      <c r="P45" s="558"/>
    </row>
    <row r="46" spans="1:16" s="27" customFormat="1" ht="16">
      <c r="A46" s="61"/>
      <c r="B46" s="105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62"/>
      <c r="P46" s="558"/>
    </row>
    <row r="47" spans="1:16" s="27" customFormat="1" ht="16">
      <c r="A47" s="61"/>
      <c r="B47" s="105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62"/>
      <c r="P47" s="558"/>
    </row>
    <row r="48" spans="1:16" s="27" customFormat="1" ht="16">
      <c r="A48" s="61"/>
      <c r="B48" s="105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62"/>
      <c r="P48" s="558"/>
    </row>
    <row r="49" spans="1:16" s="27" customFormat="1" ht="16">
      <c r="A49" s="61"/>
      <c r="B49" s="13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62"/>
      <c r="P49" s="558"/>
    </row>
    <row r="50" spans="1:16" s="27" customFormat="1" ht="16">
      <c r="A50" s="61"/>
      <c r="B50" s="62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62"/>
      <c r="P50" s="558"/>
    </row>
    <row r="51" spans="1:16" s="27" customFormat="1" ht="16">
      <c r="A51" s="61"/>
      <c r="B51" s="105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62"/>
      <c r="P51" s="558"/>
    </row>
    <row r="52" spans="1:16" s="27" customFormat="1" ht="16">
      <c r="A52" s="61"/>
      <c r="B52" s="62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62"/>
      <c r="P52" s="558"/>
    </row>
    <row r="53" spans="1:16" s="27" customFormat="1" ht="16">
      <c r="A53" s="61"/>
      <c r="B53" s="13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62"/>
      <c r="P53" s="558"/>
    </row>
    <row r="54" spans="1:16" s="27" customFormat="1" ht="16">
      <c r="A54" s="61"/>
      <c r="B54" s="62"/>
      <c r="C54" s="118"/>
      <c r="D54" s="118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62"/>
      <c r="P54" s="558"/>
    </row>
    <row r="55" spans="1:16" s="27" customFormat="1" ht="16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558"/>
    </row>
    <row r="56" spans="1:16" s="27" customFormat="1" ht="16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558"/>
    </row>
    <row r="57" spans="1:16" s="27" customFormat="1" ht="16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558"/>
    </row>
    <row r="58" spans="1:16" s="27" customFormat="1" ht="16">
      <c r="A58" s="560"/>
      <c r="B58" s="558"/>
      <c r="C58" s="558"/>
      <c r="D58" s="558"/>
      <c r="E58" s="558"/>
      <c r="F58" s="558"/>
      <c r="G58" s="558"/>
      <c r="H58" s="558"/>
      <c r="I58" s="561"/>
      <c r="J58" s="558"/>
      <c r="K58" s="558"/>
      <c r="L58" s="558"/>
      <c r="M58" s="558"/>
      <c r="N58" s="558"/>
      <c r="O58" s="558"/>
      <c r="P58" s="558"/>
    </row>
    <row r="59" spans="1:16" s="27" customFormat="1" ht="15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</row>
    <row r="60" spans="1:16" s="27" customFormat="1" ht="15">
      <c r="A60" s="61"/>
      <c r="B60" s="62"/>
      <c r="C60" s="62"/>
      <c r="D60" s="62"/>
      <c r="E60" s="62"/>
      <c r="F60" s="62"/>
      <c r="G60" s="62"/>
      <c r="H60" s="62"/>
      <c r="I60" s="562"/>
      <c r="J60" s="562"/>
      <c r="K60" s="62"/>
      <c r="L60" s="62"/>
      <c r="M60" s="62"/>
      <c r="N60" s="62"/>
    </row>
    <row r="61" spans="1:16" s="27" customFormat="1" ht="15">
      <c r="A61" s="61"/>
      <c r="B61" s="62"/>
      <c r="C61" s="62"/>
      <c r="D61" s="62"/>
      <c r="E61" s="62"/>
      <c r="F61" s="62"/>
      <c r="G61" s="62"/>
      <c r="H61" s="62"/>
      <c r="I61" s="562"/>
      <c r="J61" s="562"/>
      <c r="K61" s="62"/>
      <c r="L61" s="563"/>
      <c r="M61" s="62"/>
      <c r="N61" s="564"/>
    </row>
    <row r="62" spans="1:16" s="27" customFormat="1" ht="15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563"/>
      <c r="M62" s="62"/>
      <c r="N62" s="564"/>
    </row>
    <row r="63" spans="1:16" s="27" customFormat="1" ht="15">
      <c r="A63" s="61"/>
      <c r="B63" s="62"/>
      <c r="C63" s="62"/>
      <c r="D63" s="62"/>
      <c r="E63" s="62"/>
      <c r="F63" s="62"/>
      <c r="G63" s="62"/>
      <c r="H63" s="62"/>
      <c r="I63" s="62"/>
      <c r="J63" s="562"/>
      <c r="K63" s="62"/>
      <c r="L63" s="563"/>
      <c r="M63" s="62"/>
      <c r="N63" s="564"/>
    </row>
    <row r="64" spans="1:16" s="27" customFormat="1" ht="15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" s="27" customFormat="1">
      <c r="A65" s="565"/>
    </row>
    <row r="66" spans="1:1" s="27" customFormat="1">
      <c r="A66" s="565"/>
    </row>
    <row r="67" spans="1:1" s="27" customFormat="1">
      <c r="A67" s="565"/>
    </row>
    <row r="68" spans="1:1" s="27" customFormat="1">
      <c r="A68" s="565"/>
    </row>
    <row r="69" spans="1:1" s="27" customFormat="1">
      <c r="A69" s="565"/>
    </row>
    <row r="70" spans="1:1" s="27" customFormat="1">
      <c r="A70" s="565"/>
    </row>
    <row r="71" spans="1:1" s="27" customFormat="1">
      <c r="A71" s="565"/>
    </row>
    <row r="72" spans="1:1" s="27" customFormat="1">
      <c r="A72" s="565"/>
    </row>
    <row r="98" spans="1:1" s="12" customFormat="1">
      <c r="A98" s="18">
        <v>2</v>
      </c>
    </row>
  </sheetData>
  <conditionalFormatting sqref="C33:C53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{4129A8A2-48C5-4124-98AF-D685AB8F675E}</x14:id>
        </ext>
      </extLst>
    </cfRule>
  </conditionalFormatting>
  <conditionalFormatting sqref="C5:N25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{3CBB03D0-2DD2-4606-8486-E4A4E004DD13}</x14:id>
        </ext>
      </extLst>
    </cfRule>
  </conditionalFormatting>
  <conditionalFormatting sqref="C33:N53">
    <cfRule type="dataBar" priority="1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{0657C999-0321-4A44-9348-472ECAD6339E}</x14:id>
        </ext>
      </extLst>
    </cfRule>
  </conditionalFormatting>
  <conditionalFormatting sqref="D33:N53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{BFDDAC8E-0EE4-479B-8AF4-BAA9CC1F8373}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29A8A2-48C5-4124-98AF-D685AB8F675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C33:C53</xm:sqref>
        </x14:conditionalFormatting>
        <x14:conditionalFormatting xmlns:xm="http://schemas.microsoft.com/office/excel/2006/main">
          <x14:cfRule type="dataBar" id="{3CBB03D0-2DD2-4606-8486-E4A4E004DD1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C5:N25</xm:sqref>
        </x14:conditionalFormatting>
        <x14:conditionalFormatting xmlns:xm="http://schemas.microsoft.com/office/excel/2006/main">
          <x14:cfRule type="dataBar" id="{0657C999-0321-4A44-9348-472ECAD6339E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C33:N53</xm:sqref>
        </x14:conditionalFormatting>
        <x14:conditionalFormatting xmlns:xm="http://schemas.microsoft.com/office/excel/2006/main">
          <x14:cfRule type="dataBar" id="{BFDDAC8E-0EE4-479B-8AF4-BAA9CC1F837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D33:N53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/>
  </sheetPr>
  <dimension ref="A1:N62"/>
  <sheetViews>
    <sheetView showGridLines="0" topLeftCell="A18" workbookViewId="0">
      <selection activeCell="E21" sqref="E21"/>
    </sheetView>
  </sheetViews>
  <sheetFormatPr baseColWidth="10" defaultColWidth="8.83203125" defaultRowHeight="14"/>
  <cols>
    <col min="1" max="1" width="6.6640625" style="21" customWidth="1"/>
    <col min="2" max="2" width="31.33203125" style="16" customWidth="1"/>
    <col min="3" max="12" width="9.6640625" style="16" customWidth="1"/>
    <col min="13" max="13" width="8.83203125" style="16" customWidth="1"/>
    <col min="14" max="16384" width="8.83203125" style="16"/>
  </cols>
  <sheetData>
    <row r="1" spans="1:14" s="323" customFormat="1" ht="16">
      <c r="A1" s="364" t="s">
        <v>233</v>
      </c>
    </row>
    <row r="3" spans="1:14" s="11" customFormat="1">
      <c r="A3" s="17"/>
    </row>
    <row r="6" spans="1:14" ht="15" thickBot="1">
      <c r="B6" s="365" t="s">
        <v>39</v>
      </c>
      <c r="C6" s="366">
        <f>'Revenue &amp; COGS Building'!O12</f>
        <v>46053</v>
      </c>
      <c r="D6" s="366">
        <f>'Revenue &amp; COGS Building'!P12</f>
        <v>46054</v>
      </c>
      <c r="E6" s="366">
        <f>'Revenue &amp; COGS Building'!Q12</f>
        <v>46082</v>
      </c>
      <c r="F6" s="366">
        <f>'Revenue &amp; COGS Building'!R12</f>
        <v>46113</v>
      </c>
      <c r="G6" s="366">
        <f>'Revenue &amp; COGS Building'!S12</f>
        <v>46143</v>
      </c>
      <c r="H6" s="366">
        <f>'Revenue &amp; COGS Building'!T12</f>
        <v>46174</v>
      </c>
      <c r="I6" s="366">
        <f>'Revenue &amp; COGS Building'!U12</f>
        <v>46204</v>
      </c>
      <c r="J6" s="366">
        <f>'Revenue &amp; COGS Building'!V12</f>
        <v>46235</v>
      </c>
      <c r="K6" s="366">
        <f>'Revenue &amp; COGS Building'!W12</f>
        <v>46266</v>
      </c>
      <c r="L6" s="366">
        <f>'Revenue &amp; COGS Building'!X12</f>
        <v>46296</v>
      </c>
      <c r="M6" s="366">
        <f>'Revenue &amp; COGS Building'!Y12</f>
        <v>46327</v>
      </c>
      <c r="N6" s="366">
        <f>'Revenue &amp; COGS Building'!Z12</f>
        <v>46357</v>
      </c>
    </row>
    <row r="7" spans="1:14">
      <c r="B7" s="27"/>
      <c r="C7" s="27"/>
      <c r="D7" s="27"/>
      <c r="E7" s="27"/>
      <c r="F7" s="27"/>
      <c r="G7" s="27"/>
      <c r="H7" s="27"/>
      <c r="N7" s="27"/>
    </row>
    <row r="8" spans="1:14">
      <c r="B8" s="27" t="s">
        <v>40</v>
      </c>
      <c r="C8" s="532">
        <f>+PL!E13/PL!E8</f>
        <v>0.32118965517241388</v>
      </c>
      <c r="D8" s="532">
        <f>+PL!F13/PL!F8</f>
        <v>0.31660213532287118</v>
      </c>
      <c r="E8" s="532">
        <f>+PL!G13/PL!G8</f>
        <v>0.31387258924907663</v>
      </c>
      <c r="F8" s="532">
        <f>+PL!H13/PL!H8</f>
        <v>0.31206236137177945</v>
      </c>
      <c r="G8" s="532">
        <f>+PL!I13/PL!I8</f>
        <v>0.31077394859813062</v>
      </c>
      <c r="H8" s="532">
        <f>+PL!J13/PL!J8</f>
        <v>0.30981554761296914</v>
      </c>
      <c r="I8" s="532">
        <f>+PL!K13/PL!K8</f>
        <v>0.30907142857142855</v>
      </c>
      <c r="J8" s="532">
        <f>+PL!L13/PL!L8</f>
        <v>0.30847695288598809</v>
      </c>
      <c r="K8" s="532">
        <f>+PL!M13/PL!M8</f>
        <v>0.30799110452186795</v>
      </c>
      <c r="L8" s="532">
        <f>+PL!N13/PL!N8</f>
        <v>0.30758660213958228</v>
      </c>
      <c r="M8" s="532">
        <f>+PL!O13/PL!O8</f>
        <v>0.30724459417110633</v>
      </c>
      <c r="N8" s="532">
        <f>+PL!P13/PL!P8</f>
        <v>0.30695163636363615</v>
      </c>
    </row>
    <row r="9" spans="1:14">
      <c r="B9" s="27" t="s">
        <v>68</v>
      </c>
      <c r="C9" s="532">
        <f>+PL!E25/PL!E8</f>
        <v>-3.970559567121521</v>
      </c>
      <c r="D9" s="532">
        <f>+PL!F25/PL!F8</f>
        <v>-2.9007520207389512</v>
      </c>
      <c r="E9" s="532">
        <f>+PL!G25/PL!G8</f>
        <v>-2.2642231154231016</v>
      </c>
      <c r="F9" s="532">
        <f>+PL!H25/PL!H8</f>
        <v>-1.8420787962006635</v>
      </c>
      <c r="G9" s="532">
        <f>+PL!I25/PL!I8</f>
        <v>-1.5416215222681053</v>
      </c>
      <c r="H9" s="532">
        <f>+PL!J25/PL!J8</f>
        <v>-1.317057878707103</v>
      </c>
      <c r="I9" s="532">
        <f>+PL!K25/PL!K8</f>
        <v>-1.1427027958152962</v>
      </c>
      <c r="J9" s="532">
        <f>+PL!L25/PL!L8</f>
        <v>-1.0034107583510481</v>
      </c>
      <c r="K9" s="532">
        <f>+PL!M25/PL!M8</f>
        <v>-0.89012723625739842</v>
      </c>
      <c r="L9" s="532">
        <f>+PL!N25/PL!N8</f>
        <v>-0.79479201655538356</v>
      </c>
      <c r="M9" s="532">
        <f>+PL!O25/PL!O8</f>
        <v>-0.71465587655035823</v>
      </c>
      <c r="N9" s="532">
        <f>+PL!P25/PL!P8</f>
        <v>-0.64601271604278121</v>
      </c>
    </row>
    <row r="10" spans="1:14">
      <c r="B10" s="27" t="s">
        <v>43</v>
      </c>
      <c r="C10" s="532">
        <f>+PL!E37/PL!E8</f>
        <v>-6.8466158889606019</v>
      </c>
      <c r="D10" s="532">
        <f>+PL!F37/PL!F8</f>
        <v>-5.0465105320158568</v>
      </c>
      <c r="E10" s="532">
        <f>+PL!G37/PL!G8</f>
        <v>-3.9754589244779508</v>
      </c>
      <c r="F10" s="532">
        <f>+PL!H37/PL!H8</f>
        <v>-2.55422632506377</v>
      </c>
      <c r="G10" s="532">
        <f>+PL!I37/PL!I8</f>
        <v>-2.151127460741626</v>
      </c>
      <c r="H10" s="532">
        <f>+PL!J37/PL!J8</f>
        <v>-1.8498504070025674</v>
      </c>
      <c r="I10" s="532">
        <f>+PL!K37/PL!K8</f>
        <v>-1.6159337104033535</v>
      </c>
      <c r="J10" s="532">
        <f>+PL!L37/PL!L8</f>
        <v>-1.429057981139817</v>
      </c>
      <c r="K10" s="532">
        <f>+PL!M37/PL!M8</f>
        <v>-1.2768856375423008</v>
      </c>
      <c r="L10" s="532">
        <f>+PL!N37/PL!N8</f>
        <v>-1.1491727829560174</v>
      </c>
      <c r="M10" s="532">
        <f>+PL!O37/PL!O8</f>
        <v>-1.0416612562641365</v>
      </c>
      <c r="N10" s="532">
        <f>+PL!P37/PL!P8</f>
        <v>-0.9495688372549026</v>
      </c>
    </row>
    <row r="11" spans="1:14">
      <c r="B11" s="27" t="s">
        <v>44</v>
      </c>
      <c r="C11" s="532">
        <f>+PL!E37/BS!E32</f>
        <v>1.0109366485540099</v>
      </c>
      <c r="D11" s="532">
        <f>+PL!F37/BS!F32</f>
        <v>0.49968667806279221</v>
      </c>
      <c r="E11" s="532">
        <f>+PL!G37/BS!G32</f>
        <v>0.33047144836696268</v>
      </c>
      <c r="F11" s="532">
        <f>+PL!H37/BS!H32</f>
        <v>0.20339313530738418</v>
      </c>
      <c r="G11" s="532">
        <f>+PL!I37/BS!I32</f>
        <v>0.16676425945367337</v>
      </c>
      <c r="H11" s="532">
        <f>+PL!J37/BS!J32</f>
        <v>0.14093511859730432</v>
      </c>
      <c r="I11" s="532">
        <f>+PL!K37/BS!K32</f>
        <v>0.12173531770380311</v>
      </c>
      <c r="J11" s="532">
        <f>+PL!L37/BS!L32</f>
        <v>0.10689749178020874</v>
      </c>
      <c r="K11" s="532">
        <f>+PL!M37/BS!M32</f>
        <v>9.5119774644315341E-2</v>
      </c>
      <c r="L11" s="532">
        <f>+PL!N37/BS!N32</f>
        <v>8.5444447586385947E-2</v>
      </c>
      <c r="M11" s="532">
        <f>+PL!O37/BS!O32</f>
        <v>7.7434990667917883E-2</v>
      </c>
      <c r="N11" s="532">
        <f>+PL!P37/BS!P32</f>
        <v>7.0668179438451495E-2</v>
      </c>
    </row>
    <row r="12" spans="1:14">
      <c r="B12" s="27" t="s">
        <v>45</v>
      </c>
      <c r="C12" s="532">
        <f>+PL!E37/(BS!E32+BS!E30+BS!E24)</f>
        <v>-0.19767022406086923</v>
      </c>
      <c r="D12" s="532">
        <f>+PL!F37/(BS!F32+BS!F30+BS!F24)</f>
        <v>-0.24267884736328185</v>
      </c>
      <c r="E12" s="532">
        <f>+PL!G37/(BS!G32+BS!G30+BS!G24)</f>
        <v>-0.31529985077512507</v>
      </c>
      <c r="F12" s="532">
        <f>+PL!H37/(BS!H32+BS!H30+BS!H24)</f>
        <v>1.1075606006248351</v>
      </c>
      <c r="G12" s="532">
        <f>+PL!I37/(BS!I32+BS!I30+BS!I24)</f>
        <v>0.52149650973029749</v>
      </c>
      <c r="H12" s="532">
        <f>+PL!J37/(BS!J32+BS!J30+BS!J24)</f>
        <v>0.3390740175130813</v>
      </c>
      <c r="I12" s="532">
        <f>+PL!K37/(BS!K32+BS!K30+BS!K24)</f>
        <v>0.25008105234739886</v>
      </c>
      <c r="J12" s="532">
        <f>+PL!L37/(BS!L32+BS!L30+BS!L24)</f>
        <v>0.1973571051882993</v>
      </c>
      <c r="K12" s="532">
        <f>+PL!M37/(BS!M32+BS!M30+BS!M24)</f>
        <v>0.16253021613650237</v>
      </c>
      <c r="L12" s="532">
        <f>+PL!N37/(BS!N32+BS!N30+BS!N24)</f>
        <v>0.13766213808919331</v>
      </c>
      <c r="M12" s="532">
        <f>+PL!O37/(BS!O32+BS!O30+BS!O24)</f>
        <v>0.11912072496674968</v>
      </c>
      <c r="N12" s="532">
        <f>+PL!P37/(BS!P32+BS!P30+BS!P24)</f>
        <v>0.10472699934821278</v>
      </c>
    </row>
    <row r="13" spans="1:14">
      <c r="B13" s="27" t="s">
        <v>46</v>
      </c>
      <c r="C13" s="532">
        <f>+PL!E37/BS!E21</f>
        <v>-0.19765305847250283</v>
      </c>
      <c r="D13" s="532">
        <f>+PL!F37/BS!F21</f>
        <v>-0.24264360038548405</v>
      </c>
      <c r="E13" s="532">
        <f>+PL!G37/BS!G21</f>
        <v>-0.31522414151674871</v>
      </c>
      <c r="F13" s="532">
        <f>+PL!H37/BS!H21</f>
        <v>1.1090192653852287</v>
      </c>
      <c r="G13" s="532">
        <f>+PL!I37/BS!I21</f>
        <v>0.52188072370239058</v>
      </c>
      <c r="H13" s="532">
        <f>+PL!J37/BS!J21</f>
        <v>0.33926302927768237</v>
      </c>
      <c r="I13" s="532">
        <f>+PL!K37/BS!K21</f>
        <v>0.25019882107403607</v>
      </c>
      <c r="J13" s="532">
        <f>+PL!L37/BS!L21</f>
        <v>0.19744008256649764</v>
      </c>
      <c r="K13" s="532">
        <f>+PL!M37/BS!M21</f>
        <v>0.16259322435002677</v>
      </c>
      <c r="L13" s="532">
        <f>+PL!N37/BS!N21</f>
        <v>0.13771238089144822</v>
      </c>
      <c r="M13" s="532">
        <f>+PL!O37/BS!O21</f>
        <v>0.11916224002172689</v>
      </c>
      <c r="N13" s="532">
        <f>+PL!P37/BS!P21</f>
        <v>0.10476220870836232</v>
      </c>
    </row>
    <row r="14" spans="1:14">
      <c r="B14" s="27" t="s">
        <v>173</v>
      </c>
      <c r="C14" s="531">
        <f>+PL!E8/'Salaries &amp; Headcount'!P41</f>
        <v>1150.7936507936508</v>
      </c>
      <c r="D14" s="531">
        <f>+PL!F8/'Salaries &amp; Headcount'!Q41</f>
        <v>1542.4603174603176</v>
      </c>
      <c r="E14" s="531">
        <f>+PL!G8/'Salaries &amp; Headcount'!R41</f>
        <v>1934.1269841269841</v>
      </c>
      <c r="F14" s="531">
        <f>+PL!H8/'Salaries &amp; Headcount'!S41</f>
        <v>2325.7936507936506</v>
      </c>
      <c r="G14" s="531">
        <f>+PL!I8/'Salaries &amp; Headcount'!T41</f>
        <v>2717.4603174603171</v>
      </c>
      <c r="H14" s="531">
        <f>+PL!J8/'Salaries &amp; Headcount'!U41</f>
        <v>3108.730158730159</v>
      </c>
      <c r="I14" s="531">
        <f>+PL!K8/'Salaries &amp; Headcount'!V41</f>
        <v>3500</v>
      </c>
      <c r="J14" s="531">
        <f>+PL!L8/'Salaries &amp; Headcount'!W41</f>
        <v>3891.2698412698414</v>
      </c>
      <c r="K14" s="531">
        <f>+PL!M8/'Salaries &amp; Headcount'!X41</f>
        <v>4282.539682539682</v>
      </c>
      <c r="L14" s="531">
        <f>+PL!N8/'Salaries &amp; Headcount'!Y41</f>
        <v>4673.8095238095239</v>
      </c>
      <c r="M14" s="531">
        <f>+PL!O8/'Salaries &amp; Headcount'!Z41</f>
        <v>5065.0793650793657</v>
      </c>
      <c r="N14" s="531">
        <f>+PL!P8/'Salaries &amp; Headcount'!AA41</f>
        <v>5456.3492063492058</v>
      </c>
    </row>
    <row r="15" spans="1:14">
      <c r="B15" s="27" t="s">
        <v>177</v>
      </c>
      <c r="C15" s="531">
        <f>+PL!E37/'Salaries &amp; Headcount'!P41</f>
        <v>-7879.0420944387888</v>
      </c>
      <c r="D15" s="531">
        <f>+PL!F37/'Salaries &amp; Headcount'!Q41</f>
        <v>-7784.042237280014</v>
      </c>
      <c r="E15" s="531">
        <f>+PL!G37/'Salaries &amp; Headcount'!R41</f>
        <v>-7689.0423801212428</v>
      </c>
      <c r="F15" s="531">
        <f>+PL!H37/'Salaries &amp; Headcount'!S41</f>
        <v>-5940.6033695233155</v>
      </c>
      <c r="G15" s="531">
        <f>+PL!I37/'Salaries &amp; Headcount'!T41</f>
        <v>-5845.6035123645452</v>
      </c>
      <c r="H15" s="531">
        <f>+PL!J37/'Salaries &amp; Headcount'!U41</f>
        <v>-5750.6857493881407</v>
      </c>
      <c r="I15" s="531">
        <f>+PL!K37/'Salaries &amp; Headcount'!V41</f>
        <v>-5655.7679864117372</v>
      </c>
      <c r="J15" s="531">
        <f>+PL!L37/'Salaries &amp; Headcount'!W41</f>
        <v>-5560.8502234353355</v>
      </c>
      <c r="K15" s="531">
        <f>+PL!M37/'Salaries &amp; Headcount'!X41</f>
        <v>-5468.3134128398851</v>
      </c>
      <c r="L15" s="531">
        <f>+PL!N37/'Salaries &amp; Headcount'!Y41</f>
        <v>-5371.0146974825293</v>
      </c>
      <c r="M15" s="531">
        <f>+PL!O37/'Salaries &amp; Headcount'!Z41</f>
        <v>-5276.0969345061267</v>
      </c>
      <c r="N15" s="531">
        <f>+PL!P37/'Salaries &amp; Headcount'!AA41</f>
        <v>-5181.1791715297259</v>
      </c>
    </row>
    <row r="16" spans="1:14">
      <c r="B16" s="27" t="s">
        <v>178</v>
      </c>
      <c r="C16" s="531">
        <f>+PL!E25/'Salaries &amp; Headcount'!P41</f>
        <v>-4569.2947399414334</v>
      </c>
      <c r="D16" s="531">
        <f>+PL!F25/'Salaries &amp; Headcount'!Q41</f>
        <v>-4474.2948827826604</v>
      </c>
      <c r="E16" s="531">
        <f>+PL!G25/'Salaries &amp; Headcount'!R41</f>
        <v>-4379.2950256238873</v>
      </c>
      <c r="F16" s="531">
        <f>+PL!H25/'Salaries &amp; Headcount'!S41</f>
        <v>-4284.2951684651143</v>
      </c>
      <c r="G16" s="531">
        <f>+PL!I25/'Salaries &amp; Headcount'!T41</f>
        <v>-4189.2953113063431</v>
      </c>
      <c r="H16" s="531">
        <f>+PL!J25/'Salaries &amp; Headcount'!U41</f>
        <v>-4094.3775483299387</v>
      </c>
      <c r="I16" s="531">
        <f>+PL!K25/'Salaries &amp; Headcount'!V41</f>
        <v>-3999.4597853535365</v>
      </c>
      <c r="J16" s="531">
        <f>+PL!L25/'Salaries &amp; Headcount'!W41</f>
        <v>-3904.5420223771339</v>
      </c>
      <c r="K16" s="531">
        <f>+PL!M25/'Salaries &amp; Headcount'!X41</f>
        <v>-3812.005211781684</v>
      </c>
      <c r="L16" s="531">
        <f>+PL!N25/'Salaries &amp; Headcount'!Y41</f>
        <v>-3714.7064964243286</v>
      </c>
      <c r="M16" s="531">
        <f>+PL!O25/'Salaries &amp; Headcount'!Z41</f>
        <v>-3619.7887334479256</v>
      </c>
      <c r="N16" s="531">
        <f>+PL!P25/'Salaries &amp; Headcount'!AA41</f>
        <v>-3524.8709704715243</v>
      </c>
    </row>
    <row r="17" spans="2:14">
      <c r="B17" s="27" t="s">
        <v>155</v>
      </c>
      <c r="C17" s="532">
        <f>+BEA!C13</f>
        <v>0.12398225705329176</v>
      </c>
      <c r="D17" s="532">
        <f>+BEA!D13</f>
        <v>0.15458115630189223</v>
      </c>
      <c r="E17" s="532">
        <f>+BEA!E13</f>
        <v>0.17278731301525696</v>
      </c>
      <c r="F17" s="532">
        <f>+BEA!F13</f>
        <v>0.18486158893145754</v>
      </c>
      <c r="G17" s="532">
        <f>+BEA!G13</f>
        <v>0.19345534197111278</v>
      </c>
      <c r="H17" s="532">
        <f>+BEA!H13</f>
        <v>0.19988278367024859</v>
      </c>
      <c r="I17" s="532">
        <f>+BEA!I13</f>
        <v>0.20487316017316023</v>
      </c>
      <c r="J17" s="532">
        <f>+BEA!J13</f>
        <v>0.20885996514193533</v>
      </c>
      <c r="K17" s="532">
        <f>+BEA!K13</f>
        <v>0.21211826942516335</v>
      </c>
      <c r="L17" s="532">
        <f>+BEA!L13</f>
        <v>0.21483103320520539</v>
      </c>
      <c r="M17" s="532">
        <f>+BEA!M13</f>
        <v>0.21712468305746283</v>
      </c>
      <c r="N17" s="532">
        <f>+BEA!N13</f>
        <v>0.21908938181818158</v>
      </c>
    </row>
    <row r="18" spans="2:14">
      <c r="B18" s="27"/>
      <c r="C18" s="40"/>
      <c r="D18" s="40"/>
      <c r="E18" s="40"/>
      <c r="F18" s="40"/>
      <c r="G18" s="40"/>
      <c r="H18" s="27"/>
      <c r="I18" s="27"/>
      <c r="J18" s="27"/>
      <c r="K18" s="27"/>
      <c r="L18" s="27"/>
      <c r="M18" s="27"/>
      <c r="N18" s="27"/>
    </row>
    <row r="19" spans="2:14">
      <c r="B19" s="27"/>
      <c r="C19" s="40"/>
      <c r="D19" s="40"/>
      <c r="E19" s="40"/>
      <c r="F19" s="40"/>
      <c r="G19" s="40"/>
      <c r="H19" s="27"/>
      <c r="I19" s="27"/>
      <c r="J19" s="27"/>
      <c r="K19" s="27"/>
      <c r="L19" s="27"/>
      <c r="M19" s="27"/>
      <c r="N19" s="27"/>
    </row>
    <row r="20" spans="2:14">
      <c r="B20" s="27"/>
      <c r="C20" s="40"/>
      <c r="D20" s="40"/>
      <c r="E20" s="40"/>
      <c r="F20" s="40"/>
      <c r="G20" s="40"/>
      <c r="H20" s="27"/>
      <c r="I20" s="27"/>
      <c r="J20" s="27"/>
      <c r="K20" s="27"/>
      <c r="L20" s="27"/>
      <c r="M20" s="27"/>
      <c r="N20" s="27"/>
    </row>
    <row r="21" spans="2:14">
      <c r="B21" s="27"/>
      <c r="C21" s="40"/>
      <c r="D21" s="40"/>
      <c r="E21" s="40"/>
      <c r="F21" s="40"/>
      <c r="G21" s="40"/>
      <c r="H21" s="27"/>
      <c r="I21" s="27"/>
      <c r="J21" s="27"/>
      <c r="K21" s="27"/>
      <c r="L21" s="27"/>
      <c r="M21" s="27"/>
      <c r="N21" s="27"/>
    </row>
    <row r="22" spans="2:14">
      <c r="B22" s="27"/>
      <c r="C22" s="40"/>
      <c r="D22" s="40"/>
      <c r="E22" s="40"/>
      <c r="F22" s="40"/>
      <c r="G22" s="40"/>
      <c r="H22" s="27"/>
      <c r="I22" s="27"/>
      <c r="J22" s="27"/>
      <c r="K22" s="27"/>
      <c r="L22" s="27"/>
      <c r="M22" s="27"/>
      <c r="N22" s="27"/>
    </row>
    <row r="23" spans="2:14" ht="15" thickBot="1">
      <c r="B23" s="365" t="s">
        <v>47</v>
      </c>
      <c r="C23" s="367">
        <f>+C6</f>
        <v>46053</v>
      </c>
      <c r="D23" s="367">
        <f t="shared" ref="D23:N23" si="0">+D6</f>
        <v>46054</v>
      </c>
      <c r="E23" s="367">
        <f t="shared" si="0"/>
        <v>46082</v>
      </c>
      <c r="F23" s="367">
        <f t="shared" si="0"/>
        <v>46113</v>
      </c>
      <c r="G23" s="367">
        <f t="shared" si="0"/>
        <v>46143</v>
      </c>
      <c r="H23" s="367">
        <f t="shared" si="0"/>
        <v>46174</v>
      </c>
      <c r="I23" s="367">
        <f t="shared" si="0"/>
        <v>46204</v>
      </c>
      <c r="J23" s="367">
        <f t="shared" si="0"/>
        <v>46235</v>
      </c>
      <c r="K23" s="367">
        <f t="shared" si="0"/>
        <v>46266</v>
      </c>
      <c r="L23" s="367">
        <f t="shared" si="0"/>
        <v>46296</v>
      </c>
      <c r="M23" s="367">
        <f t="shared" si="0"/>
        <v>46327</v>
      </c>
      <c r="N23" s="367">
        <f t="shared" si="0"/>
        <v>46357</v>
      </c>
    </row>
    <row r="24" spans="2:14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2:14">
      <c r="B25" s="27" t="s">
        <v>48</v>
      </c>
      <c r="C25" s="531">
        <f>+NWC!E28</f>
        <v>64.527176637700535</v>
      </c>
      <c r="D25" s="531">
        <f>+NWC!F28</f>
        <v>86.534193613524963</v>
      </c>
      <c r="E25" s="531">
        <f>+NWC!G28</f>
        <v>108.54121058934936</v>
      </c>
      <c r="F25" s="531">
        <f>+NWC!H28</f>
        <v>130.54822756517376</v>
      </c>
      <c r="G25" s="531">
        <f>+NWC!I28</f>
        <v>152.55524454099819</v>
      </c>
      <c r="H25" s="531">
        <f>+NWC!J28</f>
        <v>174.5398736909537</v>
      </c>
      <c r="I25" s="531">
        <f>+NWC!K28</f>
        <v>196.52450284090912</v>
      </c>
      <c r="J25" s="531">
        <f>+NWC!L28</f>
        <v>218.50913199086449</v>
      </c>
      <c r="K25" s="531">
        <f>+NWC!M28</f>
        <v>240.49376114081991</v>
      </c>
      <c r="L25" s="531">
        <f>+NWC!N28</f>
        <v>262.47839029077534</v>
      </c>
      <c r="M25" s="531">
        <f>+NWC!O28</f>
        <v>284.46301944073082</v>
      </c>
      <c r="N25" s="531">
        <f>+NWC!P28</f>
        <v>306.44764859068624</v>
      </c>
    </row>
    <row r="26" spans="2:14">
      <c r="B26" s="27" t="s">
        <v>69</v>
      </c>
      <c r="C26" s="531">
        <f>+BS!E14-BS!E26</f>
        <v>834989.11601678561</v>
      </c>
      <c r="D26" s="531">
        <f>+BS!F14-BS!F26</f>
        <v>671553.2290339052</v>
      </c>
      <c r="E26" s="531">
        <f>+BS!G14-BS!G26</f>
        <v>510112.33905135904</v>
      </c>
      <c r="F26" s="531">
        <f>+BS!H14-BS!H26</f>
        <v>-114611.33170863058</v>
      </c>
      <c r="G26" s="531">
        <f>+BS!I14-BS!I26</f>
        <v>-237340.00546828599</v>
      </c>
      <c r="H26" s="531">
        <f>+BS!J14-BS!J26</f>
        <v>-358075.40620543691</v>
      </c>
      <c r="I26" s="531">
        <f>+BS!K14-BS!K26</f>
        <v>-476817.53392008343</v>
      </c>
      <c r="J26" s="531">
        <f>+BS!L14-BS!L26</f>
        <v>-593566.38861222542</v>
      </c>
      <c r="K26" s="531">
        <f>+BS!M14-BS!M26</f>
        <v>-708371.970281863</v>
      </c>
      <c r="L26" s="531">
        <f>+BS!N14-BS!N26</f>
        <v>-821134.27892899618</v>
      </c>
      <c r="M26" s="531">
        <f>+BS!O14-BS!O26</f>
        <v>-931903.31455362483</v>
      </c>
      <c r="N26" s="531">
        <f>+BS!P14-BS!P26</f>
        <v>-1040679.077155749</v>
      </c>
    </row>
    <row r="27" spans="2:14">
      <c r="B27" s="27" t="s">
        <v>49</v>
      </c>
      <c r="C27" s="533">
        <f>+BS!E14/BS!E26</f>
        <v>3062.9851942397431</v>
      </c>
      <c r="D27" s="533">
        <f>+BS!F14/BS!F26</f>
        <v>2255.6952040225224</v>
      </c>
      <c r="E27" s="533">
        <f>+BS!G14/BS!G26</f>
        <v>1580.3059768181186</v>
      </c>
      <c r="F27" s="533">
        <f>+BS!H14/BS!H26</f>
        <v>-328.20194614435411</v>
      </c>
      <c r="G27" s="533">
        <f>+BS!I14/BS!I26</f>
        <v>-634.78853065033684</v>
      </c>
      <c r="H27" s="533">
        <f>+BS!J14/BS!J26</f>
        <v>-897.72691324631569</v>
      </c>
      <c r="I27" s="533">
        <f>+BS!K14/BS!K26</f>
        <v>-1124.7642638773114</v>
      </c>
      <c r="J27" s="533">
        <f>+BS!L14/BS!L26</f>
        <v>-1321.9317447758235</v>
      </c>
      <c r="K27" s="533">
        <f>+BS!M14/BS!M26</f>
        <v>-1494.0867529206455</v>
      </c>
      <c r="L27" s="533">
        <f>+BS!N14/BS!N26</f>
        <v>-1644.8076011457083</v>
      </c>
      <c r="M27" s="533">
        <f>+BS!O14/BS!O26</f>
        <v>-1777.2726034424838</v>
      </c>
      <c r="N27" s="533">
        <f>+BS!P14/BS!P26</f>
        <v>-1893.9873924901453</v>
      </c>
    </row>
    <row r="28" spans="2:14">
      <c r="B28" s="27" t="s">
        <v>50</v>
      </c>
      <c r="C28" s="533">
        <f>+BS!E10/BS!E26</f>
        <v>3062.3812798466797</v>
      </c>
      <c r="D28" s="533">
        <f>+BS!F10/BS!F26</f>
        <v>2254.95257510693</v>
      </c>
      <c r="E28" s="533">
        <f>+BS!G10/BS!G26</f>
        <v>1579.4462362498825</v>
      </c>
      <c r="F28" s="533">
        <f>+BS!H10/BS!H26</f>
        <v>-329.16187744363566</v>
      </c>
      <c r="G28" s="533">
        <f>+BS!I10/BS!I26</f>
        <v>-635.83515191637468</v>
      </c>
      <c r="H28" s="533">
        <f>+BS!J10/BS!J26</f>
        <v>-898.84920843681095</v>
      </c>
      <c r="I28" s="533">
        <f>+BS!K10/BS!K26</f>
        <v>-1125.9532550629822</v>
      </c>
      <c r="J28" s="533">
        <f>+BS!L10/BS!L26</f>
        <v>-1323.1799622667081</v>
      </c>
      <c r="K28" s="533">
        <f>+BS!M10/BS!M26</f>
        <v>-1495.3879153471532</v>
      </c>
      <c r="L28" s="533">
        <f>+BS!N10/BS!N26</f>
        <v>-1646.1563760922695</v>
      </c>
      <c r="M28" s="533">
        <f>+BS!O10/BS!O26</f>
        <v>-1778.6644254618211</v>
      </c>
      <c r="N28" s="533">
        <f>+BS!P10/BS!P26</f>
        <v>-1895.4183227470785</v>
      </c>
    </row>
    <row r="29" spans="2:14">
      <c r="B29" s="27" t="s">
        <v>51</v>
      </c>
      <c r="C29" s="533">
        <f>+(BS!E11+BS!E10)/BS!E26</f>
        <v>3062.7001829181645</v>
      </c>
      <c r="D29" s="533">
        <f>+(BS!F11+BS!F10)/BS!F26</f>
        <v>2255.3439206322137</v>
      </c>
      <c r="E29" s="533">
        <f>+(BS!G11+BS!G10)/BS!G26</f>
        <v>1579.8987423179219</v>
      </c>
      <c r="F29" s="533">
        <f>+(BS!H11+BS!H10)/BS!H26</f>
        <v>-328.65704763708288</v>
      </c>
      <c r="G29" s="533">
        <f>+(BS!I11+BS!I10)/BS!I26</f>
        <v>-635.28504902812085</v>
      </c>
      <c r="H29" s="533">
        <f>+(BS!J11+BS!J10)/BS!J26</f>
        <v>-898.25958429985178</v>
      </c>
      <c r="I29" s="533">
        <f>+(BS!K11+BS!K10)/BS!K26</f>
        <v>-1125.3287984651472</v>
      </c>
      <c r="J29" s="533">
        <f>+(BS!L11+BS!L10)/BS!L26</f>
        <v>-1322.5245743070466</v>
      </c>
      <c r="K29" s="533">
        <f>+(BS!M11+BS!M10)/BS!M26</f>
        <v>-1494.7048765158941</v>
      </c>
      <c r="L29" s="533">
        <f>+(BS!N11+BS!N10)/BS!N26</f>
        <v>-1645.4484712816122</v>
      </c>
      <c r="M29" s="533">
        <f>+(BS!O11+BS!O10)/BS!O26</f>
        <v>-1777.934039009285</v>
      </c>
      <c r="N29" s="533">
        <f>+(BS!P11+BS!P10)/BS!P26</f>
        <v>-1894.6675117375298</v>
      </c>
    </row>
    <row r="30" spans="2:14">
      <c r="B30" s="27" t="s">
        <v>174</v>
      </c>
      <c r="C30" s="533">
        <f>+BS!E14/BS!E26</f>
        <v>3062.9851942397431</v>
      </c>
      <c r="D30" s="533">
        <f>+BS!F14/BS!F26</f>
        <v>2255.6952040225224</v>
      </c>
      <c r="E30" s="533">
        <f>+BS!G14/BS!G26</f>
        <v>1580.3059768181186</v>
      </c>
      <c r="F30" s="533">
        <f>+BS!H14/BS!H26</f>
        <v>-328.20194614435411</v>
      </c>
      <c r="G30" s="533">
        <f>+BS!I14/BS!I26</f>
        <v>-634.78853065033684</v>
      </c>
      <c r="H30" s="533">
        <f>+BS!J14/BS!J26</f>
        <v>-897.72691324631569</v>
      </c>
      <c r="I30" s="533">
        <f>+BS!K14/BS!K26</f>
        <v>-1124.7642638773114</v>
      </c>
      <c r="J30" s="533">
        <f>+BS!L14/BS!L26</f>
        <v>-1321.9317447758235</v>
      </c>
      <c r="K30" s="533">
        <f>+BS!M14/BS!M26</f>
        <v>-1494.0867529206455</v>
      </c>
      <c r="L30" s="533">
        <f>+BS!N14/BS!N26</f>
        <v>-1644.8076011457083</v>
      </c>
      <c r="M30" s="533">
        <f>+BS!O14/BS!O26</f>
        <v>-1777.2726034424838</v>
      </c>
      <c r="N30" s="533">
        <f>+BS!P14/BS!P26</f>
        <v>-1893.9873924901453</v>
      </c>
    </row>
    <row r="31" spans="2:14">
      <c r="B31" s="27"/>
      <c r="C31" s="40"/>
      <c r="D31" s="40"/>
      <c r="E31" s="40"/>
      <c r="F31" s="40"/>
      <c r="G31" s="40"/>
      <c r="H31" s="27"/>
      <c r="I31" s="27"/>
      <c r="J31" s="27"/>
      <c r="K31" s="27"/>
      <c r="L31" s="27"/>
      <c r="M31" s="27"/>
      <c r="N31" s="27"/>
    </row>
    <row r="32" spans="2:14">
      <c r="B32" s="27"/>
      <c r="C32" s="40"/>
      <c r="D32" s="40"/>
      <c r="E32" s="40"/>
      <c r="F32" s="40"/>
      <c r="G32" s="40"/>
      <c r="H32" s="27"/>
      <c r="I32" s="27"/>
      <c r="J32" s="27"/>
      <c r="K32" s="27"/>
      <c r="L32" s="27"/>
      <c r="M32" s="27"/>
      <c r="N32" s="27"/>
    </row>
    <row r="33" spans="2:14">
      <c r="B33" s="27"/>
      <c r="C33" s="40"/>
      <c r="D33" s="40"/>
      <c r="E33" s="40"/>
      <c r="F33" s="40"/>
      <c r="G33" s="40"/>
      <c r="H33" s="27"/>
      <c r="I33" s="27"/>
      <c r="J33" s="27"/>
      <c r="K33" s="27"/>
      <c r="L33" s="27"/>
      <c r="M33" s="27"/>
      <c r="N33" s="27"/>
    </row>
    <row r="34" spans="2:14">
      <c r="B34" s="27"/>
      <c r="C34" s="31"/>
      <c r="D34" s="31"/>
      <c r="E34" s="31"/>
      <c r="F34" s="31"/>
      <c r="G34" s="31"/>
      <c r="H34" s="27"/>
      <c r="I34" s="27"/>
      <c r="J34" s="27"/>
      <c r="K34" s="27"/>
      <c r="L34" s="27"/>
      <c r="M34" s="27"/>
      <c r="N34" s="27"/>
    </row>
    <row r="35" spans="2:14">
      <c r="B35" s="27"/>
      <c r="C35" s="28"/>
      <c r="D35" s="28"/>
      <c r="E35" s="28"/>
      <c r="F35" s="28"/>
      <c r="G35" s="28"/>
      <c r="H35" s="27"/>
      <c r="I35" s="27"/>
      <c r="J35" s="27"/>
      <c r="K35" s="27"/>
      <c r="L35" s="27"/>
      <c r="M35" s="27"/>
      <c r="N35" s="27"/>
    </row>
    <row r="36" spans="2:14" ht="15" thickBot="1">
      <c r="B36" s="365" t="s">
        <v>352</v>
      </c>
      <c r="C36" s="367">
        <f>C6</f>
        <v>46053</v>
      </c>
      <c r="D36" s="367">
        <f t="shared" ref="D36:N36" si="1">D6</f>
        <v>46054</v>
      </c>
      <c r="E36" s="367">
        <f t="shared" si="1"/>
        <v>46082</v>
      </c>
      <c r="F36" s="367">
        <f t="shared" si="1"/>
        <v>46113</v>
      </c>
      <c r="G36" s="367">
        <f t="shared" si="1"/>
        <v>46143</v>
      </c>
      <c r="H36" s="367">
        <f t="shared" si="1"/>
        <v>46174</v>
      </c>
      <c r="I36" s="367">
        <f t="shared" si="1"/>
        <v>46204</v>
      </c>
      <c r="J36" s="367">
        <f t="shared" si="1"/>
        <v>46235</v>
      </c>
      <c r="K36" s="367">
        <f t="shared" si="1"/>
        <v>46266</v>
      </c>
      <c r="L36" s="367">
        <f t="shared" si="1"/>
        <v>46296</v>
      </c>
      <c r="M36" s="367">
        <f t="shared" si="1"/>
        <v>46327</v>
      </c>
      <c r="N36" s="367">
        <f t="shared" si="1"/>
        <v>46357</v>
      </c>
    </row>
    <row r="37" spans="2:14">
      <c r="B37" s="27"/>
      <c r="C37" s="28"/>
      <c r="D37" s="28"/>
      <c r="E37" s="28"/>
      <c r="F37" s="28"/>
      <c r="G37" s="28"/>
      <c r="H37" s="27"/>
      <c r="N37" s="27"/>
    </row>
    <row r="38" spans="2:14">
      <c r="B38" s="27" t="s">
        <v>519</v>
      </c>
      <c r="C38" s="532">
        <f>+PL!E11/PL!E8</f>
        <v>0.67881034482758618</v>
      </c>
      <c r="D38" s="532">
        <f>+PL!F11/PL!F8</f>
        <v>0.68339786467712882</v>
      </c>
      <c r="E38" s="532">
        <f>+PL!G11/PL!G8</f>
        <v>0.68612741075092332</v>
      </c>
      <c r="F38" s="532">
        <f>+PL!H11/PL!H8</f>
        <v>0.68793763862822055</v>
      </c>
      <c r="G38" s="532">
        <f>+PL!I11/PL!I8</f>
        <v>0.68922605140186932</v>
      </c>
      <c r="H38" s="532">
        <f>+PL!J11/PL!J8</f>
        <v>0.69018445238703086</v>
      </c>
      <c r="I38" s="532">
        <f>+PL!K11/PL!K8</f>
        <v>0.69092857142857145</v>
      </c>
      <c r="J38" s="532">
        <f>+PL!L11/PL!L8</f>
        <v>0.69152304711401191</v>
      </c>
      <c r="K38" s="532">
        <f>+PL!M11/PL!M8</f>
        <v>0.69200889547813205</v>
      </c>
      <c r="L38" s="532">
        <f>+PL!N11/PL!N8</f>
        <v>0.69241339786041778</v>
      </c>
      <c r="M38" s="532">
        <f>+PL!O11/PL!O8</f>
        <v>0.69275540582889372</v>
      </c>
      <c r="N38" s="532">
        <f>+PL!P11/PL!P8</f>
        <v>0.6930483636363638</v>
      </c>
    </row>
    <row r="39" spans="2:14">
      <c r="B39" s="27" t="s">
        <v>520</v>
      </c>
      <c r="C39" s="532">
        <f>+PL!E9/PL!E8</f>
        <v>0.6415689655172413</v>
      </c>
      <c r="D39" s="532">
        <f>+PL!F9/PL!F8</f>
        <v>0.65561294057113451</v>
      </c>
      <c r="E39" s="532">
        <f>+PL!G9/PL!G8</f>
        <v>0.66396901928600749</v>
      </c>
      <c r="F39" s="532">
        <f>+PL!H9/PL!H8</f>
        <v>0.66951074901893881</v>
      </c>
      <c r="G39" s="532">
        <f>+PL!I9/PL!I8</f>
        <v>0.67345502336448615</v>
      </c>
      <c r="H39" s="532">
        <f>+PL!J9/PL!J8</f>
        <v>0.67639839162624449</v>
      </c>
      <c r="I39" s="532">
        <f>+PL!K9/PL!K8</f>
        <v>0.67868367346938774</v>
      </c>
      <c r="J39" s="532">
        <f>+PL!L9/PL!L8</f>
        <v>0.68050938201101374</v>
      </c>
      <c r="K39" s="532">
        <f>+PL!M9/PL!M8</f>
        <v>0.68200148257968873</v>
      </c>
      <c r="L39" s="532">
        <f>+PL!N9/PL!N8</f>
        <v>0.68324375955170658</v>
      </c>
      <c r="M39" s="532">
        <f>+PL!O9/PL!O8</f>
        <v>0.68429410842995919</v>
      </c>
      <c r="N39" s="532">
        <f>+PL!P9/PL!P8</f>
        <v>0.68519381818181835</v>
      </c>
    </row>
    <row r="40" spans="2:14">
      <c r="B40" s="27" t="s">
        <v>518</v>
      </c>
      <c r="C40" s="532">
        <f>+'Salaries &amp; Headcount'!P36/PL!E8</f>
        <v>3.6436193103448287</v>
      </c>
      <c r="D40" s="532">
        <f>+'Salaries &amp; Headcount'!Q36/PL!F8</f>
        <v>2.7184193465397488</v>
      </c>
      <c r="E40" s="532">
        <f>+'Salaries &amp; Headcount'!R36/PL!G8</f>
        <v>2.16793106278211</v>
      </c>
      <c r="F40" s="532">
        <f>+'Salaries &amp; Headcount'!S36/PL!H8</f>
        <v>1.8028486606381171</v>
      </c>
      <c r="G40" s="532">
        <f>+'Salaries &amp; Headcount'!T36/PL!I8</f>
        <v>1.5430046728971969</v>
      </c>
      <c r="H40" s="532">
        <f>+'Salaries &amp; Headcount'!U36/PL!J8</f>
        <v>1.348799591524126</v>
      </c>
      <c r="I40" s="532">
        <f>+'Salaries &amp; Headcount'!V36/PL!K8</f>
        <v>1.1980154195011341</v>
      </c>
      <c r="J40" s="532">
        <f>+'Salaries &amp; Headcount'!W36/PL!L8</f>
        <v>1.0775541505200901</v>
      </c>
      <c r="K40" s="532">
        <f>+'Salaries &amp; Headcount'!X36/PL!M8</f>
        <v>0.97910452186805075</v>
      </c>
      <c r="L40" s="532">
        <f>+'Salaries &amp; Headcount'!Y36/PL!N8</f>
        <v>0.89713839361521508</v>
      </c>
      <c r="M40" s="532">
        <f>+'Salaries &amp; Headcount'!Z36/PL!O8</f>
        <v>0.8278357881541839</v>
      </c>
      <c r="N40" s="532">
        <f>+'Salaries &amp; Headcount'!AA36/PL!P8</f>
        <v>0.7684724363636366</v>
      </c>
    </row>
    <row r="41" spans="2:14">
      <c r="B41" s="27" t="s">
        <v>157</v>
      </c>
      <c r="C41" s="532">
        <f>+PL!E17/PL!E8</f>
        <v>4.2898418808777441</v>
      </c>
      <c r="D41" s="532">
        <f>+PL!F17/PL!F8</f>
        <v>3.2154400682929118</v>
      </c>
      <c r="E41" s="532">
        <f>+PL!G17/PL!G8</f>
        <v>2.5761776028649241</v>
      </c>
      <c r="F41" s="532">
        <f>+PL!H17/PL!H8</f>
        <v>2.1522203936653694</v>
      </c>
      <c r="G41" s="532">
        <f>+PL!I17/PL!I8</f>
        <v>1.8504728122344951</v>
      </c>
      <c r="H41" s="532">
        <f>+PL!J17/PL!J8</f>
        <v>1.624949358275118</v>
      </c>
      <c r="I41" s="532">
        <f>+PL!K17/PL!K8</f>
        <v>1.4498490620490623</v>
      </c>
      <c r="J41" s="532">
        <f>+PL!L17/PL!L8</f>
        <v>1.3099616746704246</v>
      </c>
      <c r="K41" s="532">
        <f>+PL!M17/PL!M8</f>
        <v>1.1956356223465197</v>
      </c>
      <c r="L41" s="532">
        <f>+PL!N17/PL!N8</f>
        <v>1.1004512727890214</v>
      </c>
      <c r="M41" s="532">
        <f>+PL!O17/PL!O8</f>
        <v>1.0199726218626253</v>
      </c>
      <c r="N41" s="532">
        <f>+PL!P17/PL!P8</f>
        <v>0.95103607272727297</v>
      </c>
    </row>
    <row r="42" spans="2:14">
      <c r="B42" s="27" t="s">
        <v>521</v>
      </c>
      <c r="C42" s="532">
        <f>+PL!E31/(BS!E30+BS!E24)</f>
        <v>6.9425707934731448E-2</v>
      </c>
      <c r="D42" s="532">
        <f>+PL!F31/(BS!F30+BS!F24)</f>
        <v>6.9425707934731448E-2</v>
      </c>
      <c r="E42" s="532">
        <f>+PL!G31/(BS!G30+BS!G24)</f>
        <v>6.9425707934731448E-2</v>
      </c>
      <c r="F42" s="532">
        <f>+PL!H31/(BS!H30+BS!H24)</f>
        <v>6.9406998366796271E-2</v>
      </c>
      <c r="G42" s="532">
        <f>+PL!I31/(BS!I30+BS!I24)</f>
        <v>6.9406998366796271E-2</v>
      </c>
      <c r="H42" s="532">
        <f>+PL!J31/(BS!J30+BS!J24)</f>
        <v>6.9406998366796271E-2</v>
      </c>
      <c r="I42" s="532">
        <f>+PL!K31/(BS!K30+BS!K24)</f>
        <v>6.9406998366796271E-2</v>
      </c>
      <c r="J42" s="532">
        <f>+PL!L31/(BS!L30+BS!L24)</f>
        <v>6.9406998366796271E-2</v>
      </c>
      <c r="K42" s="532">
        <f>+PL!M31/(BS!M30+BS!M24)</f>
        <v>6.9406998366796271E-2</v>
      </c>
      <c r="L42" s="532">
        <f>+PL!N31/(BS!N30+BS!N24)</f>
        <v>6.9406998366796271E-2</v>
      </c>
      <c r="M42" s="532">
        <f>+PL!O31/(BS!O30+BS!O24)</f>
        <v>6.9406998366796271E-2</v>
      </c>
      <c r="N42" s="532">
        <f>+PL!P31/(BS!P30+BS!P24)</f>
        <v>6.9406998366796271E-2</v>
      </c>
    </row>
    <row r="43" spans="2:14">
      <c r="B43" s="27" t="s">
        <v>99</v>
      </c>
      <c r="C43" s="532">
        <f>+BS!E32/BS!E34</f>
        <v>-0.19551478201449646</v>
      </c>
      <c r="D43" s="532">
        <f>+BS!F32/BS!F34</f>
        <v>-0.48559149370596727</v>
      </c>
      <c r="E43" s="532">
        <f>+BS!G32/BS!G34</f>
        <v>-0.95386195410962393</v>
      </c>
      <c r="F43" s="532">
        <f>+BS!H32/BS!H34</f>
        <v>5.4525894578948728</v>
      </c>
      <c r="G43" s="532">
        <f>+BS!I32/BS!I34</f>
        <v>3.1294518706351915</v>
      </c>
      <c r="H43" s="532">
        <f>+BS!J32/BS!J34</f>
        <v>2.407228465511587</v>
      </c>
      <c r="I43" s="532">
        <f>+BS!K32/BS!K34</f>
        <v>2.0552689703640517</v>
      </c>
      <c r="J43" s="532">
        <f>+BS!L32/BS!L34</f>
        <v>1.8470038845481327</v>
      </c>
      <c r="K43" s="532">
        <f>+BS!M32/BS!M34</f>
        <v>1.7093524975013576</v>
      </c>
      <c r="L43" s="532">
        <f>+BS!N32/BS!N34</f>
        <v>1.6117183126758281</v>
      </c>
      <c r="M43" s="532">
        <f>+BS!O32/BS!O34</f>
        <v>1.5388681395050134</v>
      </c>
      <c r="N43" s="532">
        <f>+BS!P32/BS!P34</f>
        <v>1.4824523504189748</v>
      </c>
    </row>
    <row r="44" spans="2:14">
      <c r="B44" s="27" t="s">
        <v>100</v>
      </c>
      <c r="C44" s="532">
        <f>+(BS!E34-BS!E32)/BS!E34</f>
        <v>1.1955147820144965</v>
      </c>
      <c r="D44" s="532">
        <f>+(BS!F34-BS!F32)/BS!F34</f>
        <v>1.4855914937059673</v>
      </c>
      <c r="E44" s="532">
        <f>+(BS!G34-BS!G32)/BS!G34</f>
        <v>1.9538619541096238</v>
      </c>
      <c r="F44" s="532">
        <f>+(BS!H34-BS!H32)/BS!H34</f>
        <v>-4.4525894578948728</v>
      </c>
      <c r="G44" s="532">
        <f>+(BS!I34-BS!I32)/BS!I34</f>
        <v>-2.1294518706351915</v>
      </c>
      <c r="H44" s="532">
        <f>+(BS!J34-BS!J32)/BS!J34</f>
        <v>-1.407228465511587</v>
      </c>
      <c r="I44" s="532">
        <f>+(BS!K34-BS!K32)/BS!K34</f>
        <v>-1.0552689703640514</v>
      </c>
      <c r="J44" s="532">
        <f>+(BS!L34-BS!L32)/BS!L34</f>
        <v>-0.84700388454813269</v>
      </c>
      <c r="K44" s="532">
        <f>+(BS!M34-BS!M32)/BS!M34</f>
        <v>-0.70935249750135765</v>
      </c>
      <c r="L44" s="532">
        <f>+(BS!N34-BS!N32)/BS!N34</f>
        <v>-0.6117183126758281</v>
      </c>
      <c r="M44" s="532">
        <f>+(BS!O34-BS!O32)/BS!O34</f>
        <v>-0.53886813950501355</v>
      </c>
      <c r="N44" s="532">
        <f>+(BS!P34-BS!P32)/BS!P34</f>
        <v>-0.48245235041897483</v>
      </c>
    </row>
    <row r="45" spans="2:14">
      <c r="B45" s="27" t="s">
        <v>522</v>
      </c>
      <c r="C45" s="532">
        <f>+BS!E19/BS!E21</f>
        <v>2.2230907756144889E-3</v>
      </c>
      <c r="D45" s="532">
        <f>+BS!F19/BS!F21</f>
        <v>2.7193795812109896E-3</v>
      </c>
      <c r="E45" s="532">
        <f>+BS!G19/BS!G21</f>
        <v>3.5198458809635219E-3</v>
      </c>
      <c r="F45" s="532">
        <f>+BS!H19/BS!H21</f>
        <v>-1.5770405273154084E-2</v>
      </c>
      <c r="G45" s="532">
        <f>+BS!I19/BS!I21</f>
        <v>-7.4185330738970792E-3</v>
      </c>
      <c r="H45" s="532">
        <f>+BS!J19/BS!J21</f>
        <v>-4.8207530918621738E-3</v>
      </c>
      <c r="I45" s="532">
        <f>+BS!K19/BS!K21</f>
        <v>-3.5537711839023706E-3</v>
      </c>
      <c r="J45" s="532">
        <f>+BS!L19/BS!L21</f>
        <v>-2.8032340357531911E-3</v>
      </c>
      <c r="K45" s="532">
        <f>+BS!M19/BS!M21</f>
        <v>-2.3064860655666419E-3</v>
      </c>
      <c r="L45" s="532">
        <f>+BS!N19/BS!N21</f>
        <v>-1.9535176253309447E-3</v>
      </c>
      <c r="M45" s="532">
        <f>+BS!O19/BS!O21</f>
        <v>-1.6895956504893168E-3</v>
      </c>
      <c r="N45" s="532">
        <f>+BS!P19/BS!P21</f>
        <v>-1.4847082238396503E-3</v>
      </c>
    </row>
    <row r="46" spans="2:14">
      <c r="B46" s="27"/>
      <c r="C46" s="30"/>
      <c r="D46" s="30"/>
      <c r="E46" s="30"/>
      <c r="F46" s="30"/>
      <c r="G46" s="30"/>
      <c r="H46" s="29"/>
      <c r="N46" s="27"/>
    </row>
    <row r="47" spans="2:14">
      <c r="B47" s="27"/>
      <c r="C47" s="29"/>
      <c r="D47" s="29"/>
      <c r="E47" s="29"/>
      <c r="F47" s="29"/>
      <c r="G47" s="29"/>
      <c r="H47" s="29"/>
      <c r="I47" s="29"/>
      <c r="J47" s="32"/>
      <c r="K47" s="32"/>
      <c r="L47" s="32"/>
      <c r="M47" s="32"/>
      <c r="N47" s="27"/>
    </row>
    <row r="48" spans="2:14">
      <c r="B48" s="27"/>
      <c r="C48" s="29"/>
      <c r="D48" s="29"/>
      <c r="E48" s="29"/>
      <c r="F48" s="29"/>
      <c r="G48" s="29"/>
      <c r="H48" s="29"/>
      <c r="I48" s="29"/>
      <c r="J48" s="32"/>
      <c r="K48" s="32"/>
      <c r="L48" s="32"/>
      <c r="M48" s="32"/>
      <c r="N48" s="27"/>
    </row>
    <row r="49" spans="2:14">
      <c r="B49" s="27"/>
      <c r="C49" s="29"/>
      <c r="D49" s="29"/>
      <c r="E49" s="29"/>
      <c r="F49" s="29"/>
      <c r="G49" s="29"/>
      <c r="H49" s="29"/>
      <c r="I49" s="29"/>
      <c r="J49" s="32"/>
      <c r="K49" s="32"/>
      <c r="L49" s="32"/>
      <c r="M49" s="32"/>
      <c r="N49" s="27"/>
    </row>
    <row r="50" spans="2:14">
      <c r="B50" s="27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7"/>
    </row>
    <row r="51" spans="2:14"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2:14" ht="15" thickBot="1">
      <c r="B52" s="365" t="s">
        <v>52</v>
      </c>
      <c r="C52" s="367">
        <f>C6</f>
        <v>46053</v>
      </c>
      <c r="D52" s="367">
        <f t="shared" ref="D52:N52" si="2">D6</f>
        <v>46054</v>
      </c>
      <c r="E52" s="367">
        <f t="shared" si="2"/>
        <v>46082</v>
      </c>
      <c r="F52" s="367">
        <f t="shared" si="2"/>
        <v>46113</v>
      </c>
      <c r="G52" s="367">
        <f t="shared" si="2"/>
        <v>46143</v>
      </c>
      <c r="H52" s="367">
        <f t="shared" si="2"/>
        <v>46174</v>
      </c>
      <c r="I52" s="367">
        <f t="shared" si="2"/>
        <v>46204</v>
      </c>
      <c r="J52" s="367">
        <f t="shared" si="2"/>
        <v>46235</v>
      </c>
      <c r="K52" s="367">
        <f t="shared" si="2"/>
        <v>46266</v>
      </c>
      <c r="L52" s="367">
        <f t="shared" si="2"/>
        <v>46296</v>
      </c>
      <c r="M52" s="367">
        <f t="shared" si="2"/>
        <v>46327</v>
      </c>
      <c r="N52" s="367">
        <f t="shared" si="2"/>
        <v>46357</v>
      </c>
    </row>
    <row r="53" spans="2:14">
      <c r="B53" s="27"/>
      <c r="C53" s="28"/>
      <c r="D53" s="28"/>
      <c r="E53" s="28"/>
      <c r="F53" s="28"/>
      <c r="G53" s="28"/>
      <c r="H53" s="25"/>
      <c r="I53" s="25"/>
      <c r="J53" s="25"/>
      <c r="K53" s="25"/>
      <c r="L53" s="25"/>
      <c r="M53" s="25"/>
    </row>
    <row r="54" spans="2:14">
      <c r="B54" s="27" t="s">
        <v>70</v>
      </c>
      <c r="C54" s="531">
        <f>+NWC!E10</f>
        <v>1.3134469696969697</v>
      </c>
      <c r="D54" s="531">
        <f>+NWC!F10</f>
        <v>1.3134469696969697</v>
      </c>
      <c r="E54" s="531">
        <f>+NWC!G10</f>
        <v>1.3134469696969697</v>
      </c>
      <c r="F54" s="531">
        <f>+NWC!H10</f>
        <v>1.3134469696969697</v>
      </c>
      <c r="G54" s="531">
        <f>+NWC!I10</f>
        <v>1.3134469696969697</v>
      </c>
      <c r="H54" s="531">
        <f>+NWC!J10</f>
        <v>1.3134469696969697</v>
      </c>
      <c r="I54" s="531">
        <f>+NWC!K10</f>
        <v>1.3134469696969697</v>
      </c>
      <c r="J54" s="531">
        <f>+NWC!L10</f>
        <v>1.3134469696969697</v>
      </c>
      <c r="K54" s="531">
        <f>+NWC!M10</f>
        <v>1.3134469696969697</v>
      </c>
      <c r="L54" s="531">
        <f>+NWC!N10</f>
        <v>1.3134469696969697</v>
      </c>
      <c r="M54" s="531">
        <f>+NWC!O10</f>
        <v>1.3134469696969697</v>
      </c>
      <c r="N54" s="531">
        <f>+NWC!P10</f>
        <v>1.3134469696969697</v>
      </c>
    </row>
    <row r="55" spans="2:14">
      <c r="B55" s="27" t="s">
        <v>71</v>
      </c>
      <c r="C55" s="531">
        <f>+NWC!E11</f>
        <v>1.1182598039215688</v>
      </c>
      <c r="D55" s="531">
        <f>+NWC!F11</f>
        <v>1.1182598039215688</v>
      </c>
      <c r="E55" s="531">
        <f>+NWC!G11</f>
        <v>1.1182598039215688</v>
      </c>
      <c r="F55" s="531">
        <f>+NWC!H11</f>
        <v>1.1182598039215688</v>
      </c>
      <c r="G55" s="531">
        <f>+NWC!I11</f>
        <v>1.1182598039215688</v>
      </c>
      <c r="H55" s="531">
        <f>+NWC!J11</f>
        <v>1.1182598039215688</v>
      </c>
      <c r="I55" s="531">
        <f>+NWC!K11</f>
        <v>1.1182598039215688</v>
      </c>
      <c r="J55" s="531">
        <f>+NWC!L11</f>
        <v>1.1182598039215688</v>
      </c>
      <c r="K55" s="531">
        <f>+NWC!M11</f>
        <v>1.1182598039215688</v>
      </c>
      <c r="L55" s="531">
        <f>+NWC!N11</f>
        <v>1.1182598039215688</v>
      </c>
      <c r="M55" s="531">
        <f>+NWC!O11</f>
        <v>1.1182598039215688</v>
      </c>
      <c r="N55" s="531">
        <f>+NWC!P11</f>
        <v>1.1182598039215688</v>
      </c>
    </row>
    <row r="56" spans="2:14">
      <c r="B56" s="27" t="s">
        <v>72</v>
      </c>
      <c r="C56" s="531">
        <f>+NWC!E12</f>
        <v>1.0064338235294119</v>
      </c>
      <c r="D56" s="531">
        <f>+NWC!F12</f>
        <v>1.0064338235294119</v>
      </c>
      <c r="E56" s="531">
        <f>+NWC!G12</f>
        <v>1.0064338235294119</v>
      </c>
      <c r="F56" s="531">
        <f>+NWC!H12</f>
        <v>1.0064338235294119</v>
      </c>
      <c r="G56" s="531">
        <f>+NWC!I12</f>
        <v>1.0064338235294119</v>
      </c>
      <c r="H56" s="531">
        <f>+NWC!J12</f>
        <v>1.0064338235294119</v>
      </c>
      <c r="I56" s="531">
        <f>+NWC!K12</f>
        <v>1.0064338235294119</v>
      </c>
      <c r="J56" s="531">
        <f>+NWC!L12</f>
        <v>1.0064338235294119</v>
      </c>
      <c r="K56" s="531">
        <f>+NWC!M12</f>
        <v>1.0064338235294119</v>
      </c>
      <c r="L56" s="531">
        <f>+NWC!N12</f>
        <v>1.0064338235294119</v>
      </c>
      <c r="M56" s="531">
        <f>+NWC!O12</f>
        <v>1.0064338235294119</v>
      </c>
      <c r="N56" s="531">
        <f>+NWC!P12</f>
        <v>1.0064338235294119</v>
      </c>
    </row>
    <row r="57" spans="2:14">
      <c r="B57" s="27" t="s">
        <v>73</v>
      </c>
      <c r="C57" s="531">
        <f>+C54+C55-C56</f>
        <v>1.4252729500891264</v>
      </c>
      <c r="D57" s="531">
        <f>+D54+D55-D56</f>
        <v>1.4252729500891264</v>
      </c>
      <c r="E57" s="531">
        <f>+E54+E55-E56</f>
        <v>1.4252729500891264</v>
      </c>
      <c r="F57" s="531">
        <f>+F54+F55-F56</f>
        <v>1.4252729500891264</v>
      </c>
      <c r="G57" s="531">
        <f>+G54+G55-G56</f>
        <v>1.4252729500891264</v>
      </c>
      <c r="H57" s="531">
        <f t="shared" ref="H57:N57" si="3">+H54+H55-H56</f>
        <v>1.4252729500891264</v>
      </c>
      <c r="I57" s="531">
        <f t="shared" si="3"/>
        <v>1.4252729500891264</v>
      </c>
      <c r="J57" s="531">
        <f t="shared" si="3"/>
        <v>1.4252729500891264</v>
      </c>
      <c r="K57" s="531">
        <f t="shared" si="3"/>
        <v>1.4252729500891264</v>
      </c>
      <c r="L57" s="531">
        <f t="shared" si="3"/>
        <v>1.4252729500891264</v>
      </c>
      <c r="M57" s="531">
        <f t="shared" si="3"/>
        <v>1.4252729500891264</v>
      </c>
      <c r="N57" s="531">
        <f t="shared" si="3"/>
        <v>1.4252729500891264</v>
      </c>
    </row>
    <row r="58" spans="2:14">
      <c r="B58" s="27" t="s">
        <v>56</v>
      </c>
      <c r="C58" s="531">
        <f>+PL!E8/BS!E21</f>
        <v>2.8868723129509305E-2</v>
      </c>
      <c r="D58" s="531">
        <f>+PL!F8/BS!F21</f>
        <v>4.8081461208911561E-2</v>
      </c>
      <c r="E58" s="531">
        <f>+PL!G8/BS!G21</f>
        <v>7.9292516286819215E-2</v>
      </c>
      <c r="F58" s="531">
        <f>+PL!H8/BS!H21</f>
        <v>-0.43418989715311951</v>
      </c>
      <c r="G58" s="531">
        <f>+PL!I8/BS!I21</f>
        <v>-0.24260799660958549</v>
      </c>
      <c r="H58" s="531">
        <f>+PL!J8/BS!J21</f>
        <v>-0.18340025117350559</v>
      </c>
      <c r="I58" s="531">
        <f>+PL!K8/BS!K21</f>
        <v>-0.154832354485373</v>
      </c>
      <c r="J58" s="531">
        <f>+PL!L8/BS!L21</f>
        <v>-0.13816100198329209</v>
      </c>
      <c r="K58" s="531">
        <f>+PL!M8/BS!M21</f>
        <v>-0.12733577665027213</v>
      </c>
      <c r="L58" s="531">
        <f>+PL!N8/BS!N21</f>
        <v>-0.11983609682889514</v>
      </c>
      <c r="M58" s="531">
        <f>+PL!O8/BS!O21</f>
        <v>-0.11439634459391916</v>
      </c>
      <c r="N58" s="531">
        <f>+PL!P8/BS!P21</f>
        <v>-0.11032608126780799</v>
      </c>
    </row>
    <row r="59" spans="2:14">
      <c r="B59" s="27" t="s">
        <v>159</v>
      </c>
      <c r="C59" s="531">
        <f>+PL!E8/BS!E19</f>
        <v>12.985849901486656</v>
      </c>
      <c r="D59" s="531">
        <f>+PL!F8/BS!F19</f>
        <v>17.681040756914118</v>
      </c>
      <c r="E59" s="531">
        <f>+PL!G8/BS!G19</f>
        <v>22.527269365871692</v>
      </c>
      <c r="F59" s="531">
        <f>+PL!H8/BS!H19</f>
        <v>27.531942878617059</v>
      </c>
      <c r="G59" s="531">
        <f>+PL!I8/BS!I19</f>
        <v>32.702960840496658</v>
      </c>
      <c r="H59" s="531">
        <f>+PL!J8/BS!J19</f>
        <v>38.043900543900548</v>
      </c>
      <c r="I59" s="531">
        <f>+PL!K8/BS!K19</f>
        <v>43.568464730290458</v>
      </c>
      <c r="J59" s="531">
        <f>+PL!L8/BS!L19</f>
        <v>49.286288701246484</v>
      </c>
      <c r="K59" s="531">
        <f>+PL!M8/BS!M19</f>
        <v>55.207693881727025</v>
      </c>
      <c r="L59" s="531">
        <f>+PL!N8/BS!N19</f>
        <v>61.34375</v>
      </c>
      <c r="M59" s="531">
        <f>+PL!O8/BS!O19</f>
        <v>67.706344154466379</v>
      </c>
      <c r="N59" s="531">
        <f>+PL!P8/BS!P19</f>
        <v>74.308257674016431</v>
      </c>
    </row>
    <row r="60" spans="2:14">
      <c r="B60" s="27" t="s">
        <v>158</v>
      </c>
      <c r="C60" s="531">
        <f>+PL!E25/PL!E31</f>
        <v>-1.3811332194095549</v>
      </c>
      <c r="D60" s="531">
        <f>+PL!F25/PL!F31</f>
        <v>-1.3524181843705094</v>
      </c>
      <c r="E60" s="531">
        <f>+PL!G25/PL!G31</f>
        <v>-1.3237031493314642</v>
      </c>
      <c r="F60" s="531">
        <f>+PL!H25/PL!H31</f>
        <v>-2.5888117872791496</v>
      </c>
      <c r="G60" s="531">
        <f>+PL!I25/PL!I31</f>
        <v>-2.5314075374943315</v>
      </c>
      <c r="H60" s="531">
        <f>+PL!J25/PL!J31</f>
        <v>-2.4740528936256836</v>
      </c>
      <c r="I60" s="531">
        <f>+PL!K25/PL!K31</f>
        <v>-2.4166982497570371</v>
      </c>
      <c r="J60" s="531">
        <f>+PL!L25/PL!L31</f>
        <v>-2.359343605888391</v>
      </c>
      <c r="K60" s="531">
        <f>+PL!M25/PL!M31</f>
        <v>-2.3034276671850957</v>
      </c>
      <c r="L60" s="531">
        <f>+PL!N25/PL!N31</f>
        <v>-2.2446343181510975</v>
      </c>
      <c r="M60" s="531">
        <f>+PL!O25/PL!O31</f>
        <v>-2.187279674282451</v>
      </c>
      <c r="N60" s="531">
        <f>+PL!P25/PL!P31</f>
        <v>-2.1299250304138053</v>
      </c>
    </row>
    <row r="61" spans="2:14">
      <c r="B61" s="27" t="s">
        <v>175</v>
      </c>
      <c r="C61" s="531" t="e">
        <f>+(PL!E8+PL!E32-PL!E37)/#REF!</f>
        <v>#REF!</v>
      </c>
      <c r="D61" s="531" t="e">
        <f>+(PL!F8+PL!F32-PL!F37)/#REF!</f>
        <v>#REF!</v>
      </c>
      <c r="E61" s="531" t="e">
        <f>+(PL!G8+PL!G32-PL!G37)/#REF!</f>
        <v>#REF!</v>
      </c>
      <c r="F61" s="531" t="e">
        <f>+(PL!H8+PL!H32-PL!H37)/#REF!</f>
        <v>#REF!</v>
      </c>
      <c r="G61" s="531" t="e">
        <f>+(PL!I8+PL!I32-PL!I37)/#REF!</f>
        <v>#REF!</v>
      </c>
      <c r="H61" s="531" t="e">
        <f>+(PL!J8+PL!J32-PL!J37)/#REF!</f>
        <v>#REF!</v>
      </c>
      <c r="I61" s="531" t="e">
        <f>+(PL!K8+PL!K32-PL!K37)/#REF!</f>
        <v>#REF!</v>
      </c>
      <c r="J61" s="531" t="e">
        <f>+(PL!L8+PL!L32-PL!L37)/#REF!</f>
        <v>#REF!</v>
      </c>
      <c r="K61" s="531" t="e">
        <f>+(PL!M8+PL!M32-PL!M37)/#REF!</f>
        <v>#REF!</v>
      </c>
      <c r="L61" s="531" t="e">
        <f>+(PL!N8+PL!N32-PL!N37)/#REF!</f>
        <v>#REF!</v>
      </c>
      <c r="M61" s="531" t="e">
        <f>+(PL!O8+PL!O32-PL!O37)/#REF!</f>
        <v>#REF!</v>
      </c>
      <c r="N61" s="531" t="e">
        <f>+(PL!P8+PL!P32-PL!P37)/#REF!</f>
        <v>#REF!</v>
      </c>
    </row>
    <row r="62" spans="2:14">
      <c r="B62" s="27" t="s">
        <v>176</v>
      </c>
      <c r="C62" s="531" t="e">
        <f>+PL!E17/#REF!</f>
        <v>#REF!</v>
      </c>
      <c r="D62" s="531" t="e">
        <f>+PL!F17/#REF!</f>
        <v>#REF!</v>
      </c>
      <c r="E62" s="531" t="e">
        <f>+PL!G17/#REF!</f>
        <v>#REF!</v>
      </c>
      <c r="F62" s="531" t="e">
        <f>+PL!H17/#REF!</f>
        <v>#REF!</v>
      </c>
      <c r="G62" s="531" t="e">
        <f>+PL!I17/#REF!</f>
        <v>#REF!</v>
      </c>
      <c r="H62" s="531" t="e">
        <f>+PL!J17/#REF!</f>
        <v>#REF!</v>
      </c>
      <c r="I62" s="531" t="e">
        <f>+PL!K17/#REF!</f>
        <v>#REF!</v>
      </c>
      <c r="J62" s="531" t="e">
        <f>+PL!L17/#REF!</f>
        <v>#REF!</v>
      </c>
      <c r="K62" s="531" t="e">
        <f>+PL!M17/#REF!</f>
        <v>#REF!</v>
      </c>
      <c r="L62" s="531" t="e">
        <f>+PL!N17/#REF!</f>
        <v>#REF!</v>
      </c>
      <c r="M62" s="531" t="e">
        <f>+PL!O17/#REF!</f>
        <v>#REF!</v>
      </c>
      <c r="N62" s="531" t="e">
        <f>+PL!P17/#REF!</f>
        <v>#REF!</v>
      </c>
    </row>
  </sheetData>
  <conditionalFormatting sqref="H18:H22 H24 H31:H33">
    <cfRule type="iconSet" priority="17">
      <iconSet iconSet="4Rating">
        <cfvo type="percent" val="0"/>
        <cfvo type="percent" val="25"/>
        <cfvo type="percent" val="50"/>
        <cfvo type="percent" val="75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4"/>
  </sheetPr>
  <dimension ref="A1:N17"/>
  <sheetViews>
    <sheetView showGridLines="0" zoomScale="87" workbookViewId="0">
      <selection activeCell="I33" sqref="I33"/>
    </sheetView>
  </sheetViews>
  <sheetFormatPr baseColWidth="10" defaultColWidth="8.83203125" defaultRowHeight="14"/>
  <cols>
    <col min="1" max="1" width="2.5" style="21" customWidth="1"/>
    <col min="2" max="2" width="34" style="16" customWidth="1"/>
    <col min="3" max="14" width="9.6640625" style="16" customWidth="1"/>
    <col min="15" max="16384" width="8.83203125" style="16"/>
  </cols>
  <sheetData>
    <row r="1" spans="1:14" s="323" customFormat="1" ht="16">
      <c r="A1" s="364" t="s">
        <v>361</v>
      </c>
    </row>
    <row r="5" spans="1:14" ht="15" thickBot="1">
      <c r="B5" s="368" t="s">
        <v>67</v>
      </c>
      <c r="C5" s="369">
        <f>'Revenue &amp; COGS Building'!O12</f>
        <v>46053</v>
      </c>
      <c r="D5" s="369">
        <f>'Revenue &amp; COGS Building'!P12</f>
        <v>46054</v>
      </c>
      <c r="E5" s="369">
        <f>'Revenue &amp; COGS Building'!Q12</f>
        <v>46082</v>
      </c>
      <c r="F5" s="369">
        <f>'Revenue &amp; COGS Building'!R12</f>
        <v>46113</v>
      </c>
      <c r="G5" s="369">
        <f>'Revenue &amp; COGS Building'!S12</f>
        <v>46143</v>
      </c>
      <c r="H5" s="369">
        <f>'Revenue &amp; COGS Building'!T12</f>
        <v>46174</v>
      </c>
      <c r="I5" s="369">
        <f>'Revenue &amp; COGS Building'!U12</f>
        <v>46204</v>
      </c>
      <c r="J5" s="369">
        <f>'Revenue &amp; COGS Building'!V12</f>
        <v>46235</v>
      </c>
      <c r="K5" s="369">
        <f>'Revenue &amp; COGS Building'!W12</f>
        <v>46266</v>
      </c>
      <c r="L5" s="369">
        <f>'Revenue &amp; COGS Building'!X12</f>
        <v>46296</v>
      </c>
      <c r="M5" s="369">
        <f>'Revenue &amp; COGS Building'!Y12</f>
        <v>46327</v>
      </c>
      <c r="N5" s="369">
        <f>'Revenue &amp; COGS Building'!Z12</f>
        <v>46357</v>
      </c>
    </row>
    <row r="6" spans="1:14">
      <c r="B6" s="27"/>
      <c r="C6" s="27"/>
      <c r="D6" s="27"/>
      <c r="E6" s="27"/>
      <c r="F6" s="27"/>
      <c r="G6" s="27"/>
      <c r="H6" s="27"/>
    </row>
    <row r="7" spans="1:14">
      <c r="B7" s="27"/>
      <c r="C7" s="27"/>
      <c r="D7" s="27"/>
      <c r="E7" s="27"/>
      <c r="F7" s="27"/>
      <c r="G7" s="27"/>
      <c r="H7" s="27"/>
    </row>
    <row r="8" spans="1:14">
      <c r="B8" s="27" t="s">
        <v>281</v>
      </c>
      <c r="C8" s="531">
        <f>+PL!E25</f>
        <v>-95955.189538770093</v>
      </c>
      <c r="D8" s="531">
        <f>+PL!F25</f>
        <v>-93960.192538435862</v>
      </c>
      <c r="E8" s="531">
        <f>+PL!G25</f>
        <v>-91965.195538101631</v>
      </c>
      <c r="F8" s="531">
        <f>+PL!H25</f>
        <v>-89970.198537767399</v>
      </c>
      <c r="G8" s="531">
        <f>+PL!I25</f>
        <v>-87975.201537433211</v>
      </c>
      <c r="H8" s="531">
        <f>+PL!J25</f>
        <v>-85981.928514928717</v>
      </c>
      <c r="I8" s="531">
        <f>+PL!K25</f>
        <v>-83988.655492424266</v>
      </c>
      <c r="J8" s="531">
        <f>+PL!L25</f>
        <v>-81995.382469919816</v>
      </c>
      <c r="K8" s="531">
        <f>+PL!M25</f>
        <v>-80052.109447415365</v>
      </c>
      <c r="L8" s="531">
        <f>+PL!N25</f>
        <v>-78008.8364249109</v>
      </c>
      <c r="M8" s="531">
        <f>+PL!O25</f>
        <v>-76015.563402406435</v>
      </c>
      <c r="N8" s="531">
        <f>+PL!P25</f>
        <v>-74022.290379902013</v>
      </c>
    </row>
    <row r="9" spans="1:14">
      <c r="B9" s="27" t="s">
        <v>353</v>
      </c>
      <c r="C9" s="532">
        <f>+PL!E25/PL!E8</f>
        <v>-3.970559567121521</v>
      </c>
      <c r="D9" s="532">
        <f>+PL!F25/PL!F8</f>
        <v>-2.9007520207389512</v>
      </c>
      <c r="E9" s="532">
        <f>+PL!G25/PL!G8</f>
        <v>-2.2642231154231016</v>
      </c>
      <c r="F9" s="532">
        <f>+PL!H25/PL!H8</f>
        <v>-1.8420787962006635</v>
      </c>
      <c r="G9" s="532">
        <f>+PL!I25/PL!I8</f>
        <v>-1.5416215222681053</v>
      </c>
      <c r="H9" s="532">
        <f>+PL!J25/PL!J8</f>
        <v>-1.317057878707103</v>
      </c>
      <c r="I9" s="532">
        <f>+PL!K25/PL!K8</f>
        <v>-1.1427027958152962</v>
      </c>
      <c r="J9" s="532">
        <f>+PL!L25/PL!L8</f>
        <v>-1.0034107583510481</v>
      </c>
      <c r="K9" s="532">
        <f>+PL!M25/PL!M8</f>
        <v>-0.89012723625739842</v>
      </c>
      <c r="L9" s="532">
        <f>+PL!N25/PL!N8</f>
        <v>-0.79479201655538356</v>
      </c>
      <c r="M9" s="532">
        <f>+PL!O25/PL!O8</f>
        <v>-0.71465587655035823</v>
      </c>
      <c r="N9" s="532">
        <f>+PL!P25/PL!P8</f>
        <v>-0.64601271604278121</v>
      </c>
    </row>
    <row r="10" spans="1:14">
      <c r="B10" s="27" t="s">
        <v>354</v>
      </c>
      <c r="C10" s="531">
        <f>+PL!E25/PL!E31</f>
        <v>-1.3811332194095549</v>
      </c>
      <c r="D10" s="531">
        <f>+PL!F25/PL!F31</f>
        <v>-1.3524181843705094</v>
      </c>
      <c r="E10" s="531">
        <f>+PL!G25/PL!G31</f>
        <v>-1.3237031493314642</v>
      </c>
      <c r="F10" s="531">
        <f>+PL!H25/PL!H31</f>
        <v>-2.5888117872791496</v>
      </c>
      <c r="G10" s="531">
        <f>+PL!I25/PL!I31</f>
        <v>-2.5314075374943315</v>
      </c>
      <c r="H10" s="531">
        <f>+PL!J25/PL!J31</f>
        <v>-2.4740528936256836</v>
      </c>
      <c r="I10" s="531">
        <f>+PL!K25/PL!K31</f>
        <v>-2.4166982497570371</v>
      </c>
      <c r="J10" s="531">
        <f>+PL!L25/PL!L31</f>
        <v>-2.359343605888391</v>
      </c>
      <c r="K10" s="531">
        <f>+PL!M25/PL!M31</f>
        <v>-2.3034276671850957</v>
      </c>
      <c r="L10" s="531">
        <f>+PL!N25/PL!N31</f>
        <v>-2.2446343181510975</v>
      </c>
      <c r="M10" s="531">
        <f>+PL!O25/PL!O31</f>
        <v>-2.187279674282451</v>
      </c>
      <c r="N10" s="531">
        <f>+PL!P25/PL!P31</f>
        <v>-2.1299250304138053</v>
      </c>
    </row>
    <row r="11" spans="1:14">
      <c r="B11" s="27"/>
      <c r="C11" s="31"/>
      <c r="D11" s="31"/>
      <c r="E11" s="31"/>
      <c r="F11" s="31"/>
      <c r="G11" s="31"/>
      <c r="H11" s="27"/>
    </row>
    <row r="12" spans="1:14">
      <c r="B12" s="27"/>
      <c r="C12" s="28"/>
      <c r="D12" s="28"/>
      <c r="E12" s="28"/>
      <c r="F12" s="28"/>
      <c r="G12" s="28"/>
      <c r="H12" s="27"/>
    </row>
    <row r="13" spans="1:14">
      <c r="B13" s="27"/>
      <c r="C13" s="29"/>
      <c r="D13" s="29"/>
      <c r="E13" s="29"/>
      <c r="F13" s="29"/>
      <c r="G13" s="29"/>
      <c r="H13" s="27"/>
    </row>
    <row r="14" spans="1:14">
      <c r="B14" s="27"/>
      <c r="C14" s="29"/>
      <c r="D14" s="29"/>
      <c r="E14" s="29"/>
      <c r="F14" s="29"/>
      <c r="G14" s="29"/>
      <c r="H14" s="27"/>
    </row>
    <row r="15" spans="1:14">
      <c r="C15" s="25"/>
      <c r="D15" s="25"/>
      <c r="E15" s="25"/>
      <c r="F15" s="25"/>
      <c r="G15" s="25"/>
    </row>
    <row r="16" spans="1:14">
      <c r="C16" s="25"/>
      <c r="D16" s="25"/>
      <c r="E16" s="25"/>
      <c r="F16" s="25"/>
      <c r="G16" s="25"/>
    </row>
    <row r="17" spans="3:7">
      <c r="C17" s="25"/>
      <c r="D17" s="25"/>
      <c r="E17" s="25"/>
      <c r="F17" s="25"/>
      <c r="G17" s="25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84"/>
  <sheetViews>
    <sheetView showGridLines="0" workbookViewId="0">
      <selection activeCell="M30" sqref="M30"/>
    </sheetView>
  </sheetViews>
  <sheetFormatPr baseColWidth="10" defaultColWidth="8.83203125" defaultRowHeight="14"/>
  <cols>
    <col min="1" max="1" width="2" style="21" customWidth="1"/>
    <col min="2" max="2" width="29.6640625" style="16" customWidth="1"/>
    <col min="3" max="7" width="10.5" style="16" customWidth="1"/>
    <col min="8" max="16384" width="8.83203125" style="16"/>
  </cols>
  <sheetData>
    <row r="1" spans="1:17" s="323" customFormat="1" ht="16">
      <c r="A1" s="297" t="s">
        <v>149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17" s="11" customFormat="1" ht="15">
      <c r="A2" s="65"/>
      <c r="B2" s="58"/>
      <c r="C2" s="58"/>
      <c r="D2" s="58"/>
      <c r="E2" s="58"/>
      <c r="F2" s="58"/>
      <c r="G2" s="58"/>
      <c r="H2" s="58"/>
      <c r="I2" s="56"/>
      <c r="J2" s="56"/>
      <c r="K2" s="56"/>
      <c r="L2" s="56"/>
      <c r="M2" s="56"/>
      <c r="N2" s="56"/>
      <c r="O2" s="56"/>
      <c r="P2" s="56"/>
      <c r="Q2" s="56"/>
    </row>
    <row r="3" spans="1:17" s="11" customFormat="1" ht="16" thickBot="1">
      <c r="A3" s="65"/>
      <c r="B3" s="341" t="s">
        <v>153</v>
      </c>
      <c r="C3" s="344">
        <f>'Revenue &amp; COGS Building'!O12</f>
        <v>46053</v>
      </c>
      <c r="D3" s="344">
        <f>'Revenue &amp; COGS Building'!P12</f>
        <v>46054</v>
      </c>
      <c r="E3" s="344">
        <f>'Revenue &amp; COGS Building'!Q12</f>
        <v>46082</v>
      </c>
      <c r="F3" s="344">
        <f>'Revenue &amp; COGS Building'!R12</f>
        <v>46113</v>
      </c>
      <c r="G3" s="344">
        <f>'Revenue &amp; COGS Building'!S12</f>
        <v>46143</v>
      </c>
      <c r="H3" s="344">
        <f>'Revenue &amp; COGS Building'!T12</f>
        <v>46174</v>
      </c>
      <c r="I3" s="344">
        <f>'Revenue &amp; COGS Building'!U12</f>
        <v>46204</v>
      </c>
      <c r="J3" s="344">
        <f>'Revenue &amp; COGS Building'!V12</f>
        <v>46235</v>
      </c>
      <c r="K3" s="344">
        <f>'Revenue &amp; COGS Building'!W12</f>
        <v>46266</v>
      </c>
      <c r="L3" s="344">
        <f>'Revenue &amp; COGS Building'!X12</f>
        <v>46296</v>
      </c>
      <c r="M3" s="344">
        <f>'Revenue &amp; COGS Building'!Y12</f>
        <v>46327</v>
      </c>
      <c r="N3" s="344">
        <f>'Revenue &amp; COGS Building'!Z12</f>
        <v>46357</v>
      </c>
      <c r="O3" s="56"/>
      <c r="P3" s="56"/>
      <c r="Q3" s="56"/>
    </row>
    <row r="4" spans="1:17" s="11" customFormat="1" ht="15">
      <c r="A4" s="65"/>
      <c r="B4" s="69">
        <f>+'Revenue &amp; COGS Building'!B16</f>
        <v>0</v>
      </c>
      <c r="C4" s="58"/>
      <c r="D4" s="58"/>
      <c r="E4" s="58"/>
      <c r="F4" s="58"/>
      <c r="G4" s="58"/>
      <c r="H4" s="58"/>
      <c r="I4" s="56"/>
      <c r="J4" s="56"/>
      <c r="K4" s="56"/>
      <c r="L4" s="56"/>
      <c r="M4" s="56"/>
      <c r="N4" s="56"/>
      <c r="O4" s="56"/>
      <c r="P4" s="56"/>
      <c r="Q4" s="56"/>
    </row>
    <row r="5" spans="1:17" s="11" customFormat="1" ht="15">
      <c r="A5" s="65"/>
      <c r="B5" s="58"/>
      <c r="C5" s="58"/>
      <c r="D5" s="58"/>
      <c r="E5" s="58"/>
      <c r="F5" s="58"/>
      <c r="G5" s="58"/>
      <c r="H5" s="58"/>
      <c r="I5" s="56"/>
      <c r="J5" s="56"/>
      <c r="K5" s="56"/>
      <c r="L5" s="56"/>
      <c r="M5" s="56"/>
      <c r="N5" s="56"/>
      <c r="O5" s="56"/>
      <c r="P5" s="56"/>
      <c r="Q5" s="56"/>
    </row>
    <row r="6" spans="1:17" s="11" customFormat="1" ht="15">
      <c r="A6" s="65"/>
      <c r="B6" s="72" t="s">
        <v>246</v>
      </c>
      <c r="C6" s="489">
        <f>+'Revenue &amp; COGS Building'!O67</f>
        <v>24166.666666666668</v>
      </c>
      <c r="D6" s="489">
        <f>+'Revenue &amp; COGS Building'!P67</f>
        <v>32391.666666666668</v>
      </c>
      <c r="E6" s="489">
        <f>+'Revenue &amp; COGS Building'!Q67</f>
        <v>40616.666666666664</v>
      </c>
      <c r="F6" s="489">
        <f>+'Revenue &amp; COGS Building'!R67</f>
        <v>48841.666666666664</v>
      </c>
      <c r="G6" s="489">
        <f>+'Revenue &amp; COGS Building'!S67</f>
        <v>57066.666666666664</v>
      </c>
      <c r="H6" s="489">
        <f>+'Revenue &amp; COGS Building'!T67</f>
        <v>65283.333333333336</v>
      </c>
      <c r="I6" s="489">
        <f>+'Revenue &amp; COGS Building'!U67</f>
        <v>73500</v>
      </c>
      <c r="J6" s="489">
        <f>+'Revenue &amp; COGS Building'!V67</f>
        <v>81716.666666666672</v>
      </c>
      <c r="K6" s="489">
        <f>+'Revenue &amp; COGS Building'!W67</f>
        <v>89933.333333333328</v>
      </c>
      <c r="L6" s="489">
        <f>+'Revenue &amp; COGS Building'!X67</f>
        <v>98150</v>
      </c>
      <c r="M6" s="489">
        <f>+'Revenue &amp; COGS Building'!Y67</f>
        <v>106366.66666666667</v>
      </c>
      <c r="N6" s="489">
        <f>+'Revenue &amp; COGS Building'!Z67</f>
        <v>114583.33333333333</v>
      </c>
      <c r="O6" s="56"/>
      <c r="P6" s="56"/>
      <c r="Q6" s="56"/>
    </row>
    <row r="7" spans="1:17" s="11" customFormat="1" ht="15">
      <c r="A7" s="65"/>
      <c r="B7" s="130" t="s">
        <v>151</v>
      </c>
      <c r="C7" s="474">
        <f>+PL!E9+PL!E15</f>
        <v>21170.428787878784</v>
      </c>
      <c r="D7" s="474">
        <f>+PL!F9+PL!F15</f>
        <v>27384.525378787876</v>
      </c>
      <c r="E7" s="474">
        <f>+PL!G9+PL!G15</f>
        <v>33598.621969696978</v>
      </c>
      <c r="F7" s="474">
        <f>+PL!H9+PL!H15</f>
        <v>39812.718560606059</v>
      </c>
      <c r="G7" s="474">
        <f>+PL!I9+PL!I15</f>
        <v>46026.815151515162</v>
      </c>
      <c r="H7" s="474">
        <f>+PL!J9+PL!J15</f>
        <v>52234.318939393939</v>
      </c>
      <c r="I7" s="474">
        <f>+PL!K9+PL!K15</f>
        <v>58441.822727272724</v>
      </c>
      <c r="J7" s="474">
        <f>+PL!L9+PL!L15</f>
        <v>64649.326515151522</v>
      </c>
      <c r="K7" s="474">
        <f>+PL!M9+PL!M15</f>
        <v>70856.830303030307</v>
      </c>
      <c r="L7" s="474">
        <f>+PL!N9+PL!N15</f>
        <v>77064.334090909091</v>
      </c>
      <c r="M7" s="474">
        <f>+PL!O9+PL!O15</f>
        <v>83271.837878787876</v>
      </c>
      <c r="N7" s="474">
        <f>+PL!P9+PL!P15</f>
        <v>89479.341666666689</v>
      </c>
      <c r="O7" s="56"/>
      <c r="P7" s="56"/>
      <c r="Q7" s="56"/>
    </row>
    <row r="8" spans="1:17" s="11" customFormat="1" ht="15">
      <c r="A8" s="65"/>
      <c r="B8" s="130" t="s">
        <v>152</v>
      </c>
      <c r="C8" s="474">
        <f>+PL!E10+PL!E16</f>
        <v>98905.333333333358</v>
      </c>
      <c r="D8" s="474">
        <f>+PL!F10+PL!F16</f>
        <v>98905.333333333358</v>
      </c>
      <c r="E8" s="474">
        <f>+PL!G10+PL!G16</f>
        <v>98905.333333333358</v>
      </c>
      <c r="F8" s="474">
        <f>+PL!H10+PL!H16</f>
        <v>98905.333333333358</v>
      </c>
      <c r="G8" s="474">
        <f>+PL!I10+PL!I16</f>
        <v>98905.333333333358</v>
      </c>
      <c r="H8" s="474">
        <f>+PL!J10+PL!J16</f>
        <v>98905.333333333358</v>
      </c>
      <c r="I8" s="474">
        <f>+PL!K10+PL!K16</f>
        <v>98905.333333333358</v>
      </c>
      <c r="J8" s="474">
        <f>+PL!L10+PL!L16</f>
        <v>98905.333333333358</v>
      </c>
      <c r="K8" s="474">
        <f>+PL!M10+PL!M16</f>
        <v>98905.333333333358</v>
      </c>
      <c r="L8" s="474">
        <f>+PL!N10+PL!N16</f>
        <v>98905.333333333358</v>
      </c>
      <c r="M8" s="474">
        <f>+PL!O10+PL!O16</f>
        <v>98905.333333333358</v>
      </c>
      <c r="N8" s="474">
        <f>+PL!P10+PL!P16</f>
        <v>98905.333333333358</v>
      </c>
      <c r="O8" s="56"/>
      <c r="P8" s="56"/>
      <c r="Q8" s="56"/>
    </row>
    <row r="9" spans="1:17" s="11" customFormat="1" ht="15">
      <c r="A9" s="65"/>
      <c r="B9" s="72" t="s">
        <v>150</v>
      </c>
      <c r="C9" s="455">
        <f>SUM(C7:C8)</f>
        <v>120075.76212121214</v>
      </c>
      <c r="D9" s="455">
        <f>SUM(D7:D8)</f>
        <v>126289.85871212123</v>
      </c>
      <c r="E9" s="455">
        <f>SUM(E7:E8)</f>
        <v>132503.95530303032</v>
      </c>
      <c r="F9" s="455">
        <f>SUM(F7:F8)</f>
        <v>138718.05189393941</v>
      </c>
      <c r="G9" s="455">
        <f>SUM(G7:G8)</f>
        <v>144932.14848484853</v>
      </c>
      <c r="H9" s="455">
        <f t="shared" ref="H9:N9" si="0">SUM(H7:H8)</f>
        <v>151139.65227272728</v>
      </c>
      <c r="I9" s="455">
        <f t="shared" si="0"/>
        <v>157347.15606060607</v>
      </c>
      <c r="J9" s="455">
        <f t="shared" si="0"/>
        <v>163554.65984848488</v>
      </c>
      <c r="K9" s="455">
        <f t="shared" si="0"/>
        <v>169762.16363636366</v>
      </c>
      <c r="L9" s="455">
        <f t="shared" si="0"/>
        <v>175969.66742424245</v>
      </c>
      <c r="M9" s="455">
        <f t="shared" si="0"/>
        <v>182177.17121212123</v>
      </c>
      <c r="N9" s="455">
        <f t="shared" si="0"/>
        <v>188384.67500000005</v>
      </c>
      <c r="O9" s="56"/>
      <c r="P9" s="56"/>
      <c r="Q9" s="56"/>
    </row>
    <row r="10" spans="1:17" s="11" customFormat="1" ht="15">
      <c r="A10" s="65"/>
      <c r="B10" s="58"/>
      <c r="C10" s="73"/>
      <c r="D10" s="73"/>
      <c r="E10" s="73"/>
      <c r="F10" s="73"/>
      <c r="G10" s="73"/>
      <c r="H10" s="79"/>
      <c r="I10" s="121"/>
      <c r="J10" s="56"/>
      <c r="K10" s="56"/>
      <c r="L10" s="56"/>
      <c r="M10" s="56"/>
      <c r="N10" s="56"/>
      <c r="O10" s="56"/>
      <c r="P10" s="56"/>
      <c r="Q10" s="56"/>
    </row>
    <row r="11" spans="1:17" s="11" customFormat="1" ht="15">
      <c r="A11" s="65"/>
      <c r="B11" s="74" t="s">
        <v>154</v>
      </c>
      <c r="C11" s="460">
        <f>+C6-C7</f>
        <v>2996.2378787878843</v>
      </c>
      <c r="D11" s="460">
        <f>+D6-D7</f>
        <v>5007.1412878787924</v>
      </c>
      <c r="E11" s="460">
        <f>+E6-E7</f>
        <v>7018.0446969696859</v>
      </c>
      <c r="F11" s="460">
        <f>+F6-F7</f>
        <v>9028.9481060606049</v>
      </c>
      <c r="G11" s="460">
        <f>+G6-G7</f>
        <v>11039.851515151502</v>
      </c>
      <c r="H11" s="460">
        <f t="shared" ref="H11:N11" si="1">+H6-H7</f>
        <v>13049.014393939397</v>
      </c>
      <c r="I11" s="460">
        <f t="shared" si="1"/>
        <v>15058.177272727276</v>
      </c>
      <c r="J11" s="460">
        <f t="shared" si="1"/>
        <v>17067.340151515149</v>
      </c>
      <c r="K11" s="460">
        <f t="shared" si="1"/>
        <v>19076.503030303022</v>
      </c>
      <c r="L11" s="460">
        <f t="shared" si="1"/>
        <v>21085.665909090909</v>
      </c>
      <c r="M11" s="460">
        <f t="shared" si="1"/>
        <v>23094.828787878796</v>
      </c>
      <c r="N11" s="460">
        <f t="shared" si="1"/>
        <v>25103.99166666664</v>
      </c>
      <c r="O11" s="56"/>
      <c r="P11" s="56"/>
      <c r="Q11" s="56"/>
    </row>
    <row r="12" spans="1:17" s="11" customFormat="1" ht="15">
      <c r="A12" s="65"/>
      <c r="B12" s="58"/>
      <c r="C12" s="73"/>
      <c r="D12" s="73"/>
      <c r="E12" s="73"/>
      <c r="F12" s="73"/>
      <c r="G12" s="73"/>
      <c r="H12" s="79"/>
      <c r="I12" s="121"/>
      <c r="J12" s="56"/>
      <c r="K12" s="56"/>
      <c r="L12" s="56"/>
      <c r="M12" s="56"/>
      <c r="N12" s="56"/>
      <c r="O12" s="56"/>
      <c r="P12" s="56"/>
      <c r="Q12" s="56"/>
    </row>
    <row r="13" spans="1:17" s="11" customFormat="1" ht="15">
      <c r="A13" s="65"/>
      <c r="B13" s="130" t="s">
        <v>155</v>
      </c>
      <c r="C13" s="498">
        <f>+C11/C6</f>
        <v>0.12398225705329176</v>
      </c>
      <c r="D13" s="498">
        <f>+D11/D6</f>
        <v>0.15458115630189223</v>
      </c>
      <c r="E13" s="498">
        <f>+E11/E6</f>
        <v>0.17278731301525696</v>
      </c>
      <c r="F13" s="498">
        <f>+F11/F6</f>
        <v>0.18486158893145754</v>
      </c>
      <c r="G13" s="498">
        <f>+G11/G6</f>
        <v>0.19345534197111278</v>
      </c>
      <c r="H13" s="498">
        <f t="shared" ref="H13:N13" si="2">+H11/H6</f>
        <v>0.19988278367024859</v>
      </c>
      <c r="I13" s="498">
        <f t="shared" si="2"/>
        <v>0.20487316017316023</v>
      </c>
      <c r="J13" s="498">
        <f t="shared" si="2"/>
        <v>0.20885996514193533</v>
      </c>
      <c r="K13" s="498">
        <f t="shared" si="2"/>
        <v>0.21211826942516335</v>
      </c>
      <c r="L13" s="498">
        <f t="shared" si="2"/>
        <v>0.21483103320520539</v>
      </c>
      <c r="M13" s="498">
        <f t="shared" si="2"/>
        <v>0.21712468305746283</v>
      </c>
      <c r="N13" s="498">
        <f t="shared" si="2"/>
        <v>0.21908938181818158</v>
      </c>
      <c r="O13" s="56"/>
      <c r="P13" s="56"/>
      <c r="Q13" s="56"/>
    </row>
    <row r="14" spans="1:17" s="11" customFormat="1" ht="15">
      <c r="A14" s="65"/>
      <c r="B14" s="58"/>
      <c r="C14" s="73"/>
      <c r="D14" s="73"/>
      <c r="E14" s="73"/>
      <c r="F14" s="73"/>
      <c r="G14" s="73"/>
      <c r="H14" s="79"/>
      <c r="I14" s="121"/>
      <c r="J14" s="56"/>
      <c r="K14" s="56"/>
      <c r="L14" s="56"/>
      <c r="M14" s="56"/>
      <c r="N14" s="56"/>
      <c r="O14" s="56"/>
      <c r="P14" s="56"/>
      <c r="Q14" s="56"/>
    </row>
    <row r="15" spans="1:17" ht="15">
      <c r="A15" s="59"/>
      <c r="B15" s="74" t="s">
        <v>599</v>
      </c>
      <c r="C15" s="460">
        <f>+C8/C13</f>
        <v>797737.80284400296</v>
      </c>
      <c r="D15" s="460">
        <f>+D8/D13</f>
        <v>639827.87876275356</v>
      </c>
      <c r="E15" s="460">
        <f>+E8/E13</f>
        <v>572410.85359432676</v>
      </c>
      <c r="F15" s="460">
        <f>+F8/F13</f>
        <v>535023.71101010707</v>
      </c>
      <c r="G15" s="460">
        <f>+G8/G13</f>
        <v>511256.66691645113</v>
      </c>
      <c r="H15" s="460">
        <f t="shared" ref="H15:N15" si="3">+H8/H13</f>
        <v>494816.66963623965</v>
      </c>
      <c r="I15" s="460">
        <f t="shared" si="3"/>
        <v>482763.74147661839</v>
      </c>
      <c r="J15" s="460">
        <f t="shared" si="3"/>
        <v>473548.54850291717</v>
      </c>
      <c r="K15" s="460">
        <f t="shared" si="3"/>
        <v>466274.46849045588</v>
      </c>
      <c r="L15" s="460">
        <f t="shared" si="3"/>
        <v>460386.62039510626</v>
      </c>
      <c r="M15" s="460">
        <f t="shared" si="3"/>
        <v>455523.21339328197</v>
      </c>
      <c r="N15" s="460">
        <f t="shared" si="3"/>
        <v>451438.27835259103</v>
      </c>
      <c r="O15" s="58"/>
      <c r="P15" s="58"/>
      <c r="Q15" s="58"/>
    </row>
    <row r="16" spans="1:17" ht="15">
      <c r="A16" s="59"/>
      <c r="B16" s="58"/>
      <c r="C16" s="73"/>
      <c r="D16" s="73"/>
      <c r="E16" s="73"/>
      <c r="F16" s="73"/>
      <c r="G16" s="73"/>
      <c r="H16" s="79"/>
      <c r="I16" s="79"/>
      <c r="J16" s="58"/>
      <c r="K16" s="58"/>
      <c r="L16" s="58"/>
      <c r="M16" s="58"/>
      <c r="N16" s="58"/>
      <c r="O16" s="58"/>
      <c r="P16" s="58"/>
      <c r="Q16" s="58"/>
    </row>
    <row r="17" spans="1:17" ht="15">
      <c r="A17" s="59"/>
      <c r="B17" s="58"/>
      <c r="C17" s="79"/>
      <c r="D17" s="79"/>
      <c r="E17" s="79"/>
      <c r="F17" s="79"/>
      <c r="G17" s="79"/>
      <c r="H17" s="79"/>
      <c r="I17" s="79"/>
      <c r="J17" s="58"/>
      <c r="K17" s="58"/>
      <c r="L17" s="58"/>
      <c r="M17" s="58"/>
      <c r="N17" s="58"/>
      <c r="O17" s="58"/>
      <c r="P17" s="58"/>
      <c r="Q17" s="58"/>
    </row>
    <row r="18" spans="1:17" ht="15">
      <c r="A18" s="59"/>
      <c r="B18" s="58"/>
      <c r="C18" s="79"/>
      <c r="D18" s="79"/>
      <c r="E18" s="79"/>
      <c r="F18" s="79"/>
      <c r="G18" s="79"/>
      <c r="H18" s="79"/>
      <c r="I18" s="79"/>
      <c r="J18" s="58"/>
      <c r="K18" s="58"/>
      <c r="L18" s="58"/>
      <c r="M18" s="58"/>
      <c r="N18" s="58"/>
      <c r="O18" s="58"/>
      <c r="P18" s="58"/>
      <c r="Q18" s="58"/>
    </row>
    <row r="19" spans="1:17" ht="15">
      <c r="A19" s="59"/>
      <c r="B19" s="58"/>
      <c r="C19" s="79"/>
      <c r="D19" s="79"/>
      <c r="E19" s="79"/>
      <c r="F19" s="79"/>
      <c r="G19" s="79"/>
      <c r="H19" s="79"/>
      <c r="I19" s="79"/>
      <c r="J19" s="58"/>
      <c r="K19" s="58"/>
      <c r="L19" s="58"/>
      <c r="M19" s="58"/>
      <c r="N19" s="58"/>
      <c r="O19" s="58"/>
      <c r="P19" s="58"/>
      <c r="Q19" s="58"/>
    </row>
    <row r="20" spans="1:17" ht="15">
      <c r="A20" s="59"/>
      <c r="B20" s="58"/>
      <c r="C20" s="79"/>
      <c r="D20" s="79"/>
      <c r="E20" s="79"/>
      <c r="F20" s="79"/>
      <c r="G20" s="79"/>
      <c r="H20" s="79"/>
      <c r="I20" s="79"/>
      <c r="J20" s="58"/>
      <c r="K20" s="58"/>
      <c r="L20" s="58"/>
      <c r="M20" s="58"/>
      <c r="N20" s="58"/>
      <c r="O20" s="58"/>
      <c r="P20" s="58"/>
      <c r="Q20" s="58"/>
    </row>
    <row r="21" spans="1:17" ht="15">
      <c r="A21" s="59"/>
      <c r="B21" s="58"/>
      <c r="C21" s="79"/>
      <c r="D21" s="79"/>
      <c r="E21" s="79"/>
      <c r="F21" s="79"/>
      <c r="G21" s="79"/>
      <c r="H21" s="79"/>
      <c r="I21" s="79"/>
      <c r="J21" s="58"/>
      <c r="K21" s="58"/>
      <c r="L21" s="58"/>
      <c r="M21" s="58"/>
      <c r="N21" s="58"/>
      <c r="O21" s="58"/>
      <c r="P21" s="58"/>
      <c r="Q21" s="58"/>
    </row>
    <row r="22" spans="1:17" ht="15">
      <c r="A22" s="59"/>
      <c r="B22" s="58"/>
      <c r="C22" s="79"/>
      <c r="D22" s="79"/>
      <c r="E22" s="79"/>
      <c r="F22" s="79"/>
      <c r="G22" s="79"/>
      <c r="H22" s="79"/>
      <c r="I22" s="79"/>
      <c r="J22" s="58"/>
      <c r="K22" s="58"/>
      <c r="L22" s="58"/>
      <c r="M22" s="58"/>
      <c r="N22" s="58"/>
      <c r="O22" s="58"/>
      <c r="P22" s="58"/>
      <c r="Q22" s="58"/>
    </row>
    <row r="23" spans="1:17" ht="15">
      <c r="A23" s="59"/>
      <c r="B23" s="58"/>
      <c r="C23" s="79"/>
      <c r="D23" s="79"/>
      <c r="E23" s="79"/>
      <c r="F23" s="79"/>
      <c r="G23" s="79"/>
      <c r="H23" s="79"/>
      <c r="I23" s="79"/>
      <c r="J23" s="58"/>
      <c r="K23" s="58"/>
      <c r="L23" s="58"/>
      <c r="M23" s="58"/>
      <c r="N23" s="58"/>
      <c r="O23" s="58"/>
      <c r="P23" s="58"/>
      <c r="Q23" s="58"/>
    </row>
    <row r="24" spans="1:17" ht="15">
      <c r="A24" s="59"/>
      <c r="B24" s="58"/>
      <c r="C24" s="79"/>
      <c r="D24" s="79"/>
      <c r="E24" s="79"/>
      <c r="F24" s="79"/>
      <c r="G24" s="79"/>
      <c r="H24" s="79"/>
      <c r="I24" s="79"/>
      <c r="J24" s="58"/>
      <c r="K24" s="58"/>
      <c r="L24" s="58"/>
      <c r="M24" s="58"/>
      <c r="N24" s="58"/>
      <c r="O24" s="58"/>
      <c r="P24" s="58"/>
      <c r="Q24" s="58"/>
    </row>
    <row r="25" spans="1:17" ht="15">
      <c r="A25" s="59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15">
      <c r="A26" s="59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ht="15">
      <c r="A27" s="59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15">
      <c r="A28" s="59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5">
      <c r="A29" s="59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5">
      <c r="A30" s="59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84" spans="1:1" s="12" customFormat="1">
      <c r="A84" s="18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8"/>
  <sheetViews>
    <sheetView showGridLines="0" workbookViewId="0">
      <selection activeCell="E25" sqref="E25"/>
    </sheetView>
  </sheetViews>
  <sheetFormatPr baseColWidth="10" defaultColWidth="8.83203125" defaultRowHeight="14"/>
  <cols>
    <col min="1" max="1" width="2.33203125" style="21" customWidth="1"/>
    <col min="2" max="2" width="45.5" style="16" customWidth="1"/>
    <col min="3" max="3" width="13.33203125" style="16" customWidth="1"/>
    <col min="4" max="4" width="7.6640625" style="16" customWidth="1"/>
    <col min="5" max="5" width="58.1640625" style="16" bestFit="1" customWidth="1"/>
    <col min="6" max="6" width="64.33203125" style="16" customWidth="1"/>
    <col min="7" max="16384" width="8.83203125" style="16"/>
  </cols>
  <sheetData>
    <row r="1" spans="1:8" s="323" customFormat="1" ht="16">
      <c r="A1" s="297" t="s">
        <v>102</v>
      </c>
      <c r="B1" s="298"/>
      <c r="C1" s="298"/>
      <c r="D1" s="298"/>
      <c r="E1" s="298"/>
      <c r="F1" s="298"/>
      <c r="G1" s="298"/>
      <c r="H1" s="298"/>
    </row>
    <row r="2" spans="1:8" ht="15">
      <c r="A2" s="59"/>
      <c r="B2" s="58"/>
      <c r="C2" s="58"/>
      <c r="D2" s="58"/>
      <c r="E2" s="58"/>
      <c r="F2" s="58"/>
      <c r="G2" s="58"/>
      <c r="H2" s="58"/>
    </row>
    <row r="3" spans="1:8" s="327" customFormat="1" ht="15">
      <c r="A3" s="371">
        <v>1</v>
      </c>
      <c r="B3" s="372" t="s">
        <v>103</v>
      </c>
      <c r="C3" s="326"/>
      <c r="D3" s="326"/>
      <c r="E3" s="326"/>
      <c r="F3" s="326"/>
      <c r="G3" s="326"/>
      <c r="H3" s="326"/>
    </row>
    <row r="4" spans="1:8" s="11" customFormat="1" ht="15">
      <c r="A4" s="65"/>
      <c r="B4" s="56"/>
      <c r="C4" s="56"/>
      <c r="D4" s="56"/>
      <c r="E4" s="56"/>
      <c r="F4" s="56"/>
      <c r="G4" s="56"/>
      <c r="H4" s="56"/>
    </row>
    <row r="5" spans="1:8" ht="16" thickBot="1">
      <c r="A5" s="59"/>
      <c r="B5" s="341" t="s">
        <v>104</v>
      </c>
      <c r="C5" s="370" t="s">
        <v>320</v>
      </c>
      <c r="D5" s="341"/>
      <c r="E5" s="341" t="s">
        <v>319</v>
      </c>
      <c r="F5" s="341" t="s">
        <v>372</v>
      </c>
      <c r="G5" s="58"/>
      <c r="H5" s="58"/>
    </row>
    <row r="6" spans="1:8" ht="16">
      <c r="A6" s="59"/>
      <c r="B6" s="255"/>
      <c r="C6" s="255"/>
      <c r="D6" s="58"/>
      <c r="E6" s="58"/>
      <c r="F6" s="58"/>
      <c r="G6" s="58"/>
      <c r="H6" s="58"/>
    </row>
    <row r="7" spans="1:8" ht="15">
      <c r="A7" s="59"/>
      <c r="B7" s="130" t="s">
        <v>105</v>
      </c>
      <c r="C7" s="499">
        <v>0.03</v>
      </c>
      <c r="D7" s="58"/>
      <c r="E7" s="58" t="s">
        <v>312</v>
      </c>
      <c r="F7" s="58"/>
      <c r="G7" s="58"/>
      <c r="H7" s="58"/>
    </row>
    <row r="8" spans="1:8" ht="15">
      <c r="A8" s="59"/>
      <c r="B8" s="130" t="s">
        <v>106</v>
      </c>
      <c r="C8" s="500">
        <v>0.15890000000000001</v>
      </c>
      <c r="D8" s="58"/>
      <c r="E8" s="58" t="s">
        <v>601</v>
      </c>
      <c r="F8" s="58"/>
      <c r="G8" s="58"/>
      <c r="H8" s="58"/>
    </row>
    <row r="9" spans="1:8" ht="15">
      <c r="A9" s="59"/>
      <c r="B9" s="256" t="s">
        <v>107</v>
      </c>
      <c r="C9" s="501">
        <v>0.99</v>
      </c>
      <c r="D9" s="58"/>
      <c r="E9" s="58"/>
      <c r="F9" s="58"/>
      <c r="G9" s="58"/>
      <c r="H9" s="58"/>
    </row>
    <row r="10" spans="1:8" ht="15">
      <c r="A10" s="59"/>
      <c r="B10" s="256" t="s">
        <v>581</v>
      </c>
      <c r="C10" s="502">
        <f>MAX(0,('Historicals &amp; Projections'!D28+'Historicals &amp; Projections'!D22-'Historicals &amp; Projections'!D8)/'Historicals &amp; Projections'!D30)</f>
        <v>0</v>
      </c>
      <c r="D10" s="58"/>
      <c r="E10" s="58" t="s">
        <v>313</v>
      </c>
      <c r="F10" s="58"/>
      <c r="G10" s="58"/>
      <c r="H10" s="58"/>
    </row>
    <row r="11" spans="1:8" ht="15">
      <c r="A11" s="59"/>
      <c r="B11" s="256" t="s">
        <v>108</v>
      </c>
      <c r="C11" s="503">
        <f>+C9*(1+(1-C23)*C10)</f>
        <v>0.99</v>
      </c>
      <c r="D11" s="58"/>
      <c r="E11" s="58"/>
      <c r="F11" s="58"/>
      <c r="G11" s="58"/>
      <c r="H11" s="58"/>
    </row>
    <row r="12" spans="1:8" ht="15">
      <c r="A12" s="59"/>
      <c r="B12" s="72" t="s">
        <v>109</v>
      </c>
      <c r="C12" s="504">
        <f>IFERROR(+C7+C8*C11,"n.a.")</f>
        <v>0.18731100000000001</v>
      </c>
      <c r="D12" s="257"/>
      <c r="E12" s="58"/>
      <c r="F12" s="58"/>
      <c r="G12" s="58"/>
      <c r="H12" s="58"/>
    </row>
    <row r="13" spans="1:8" ht="15">
      <c r="A13" s="59"/>
      <c r="B13" s="258"/>
      <c r="C13" s="259"/>
      <c r="D13" s="58"/>
      <c r="E13" s="58"/>
      <c r="F13" s="58"/>
      <c r="G13" s="58"/>
      <c r="H13" s="58"/>
    </row>
    <row r="14" spans="1:8" ht="15">
      <c r="A14" s="59"/>
      <c r="B14" s="130" t="s">
        <v>110</v>
      </c>
      <c r="C14" s="499">
        <v>0.01</v>
      </c>
      <c r="D14" s="58"/>
      <c r="E14" s="58" t="s">
        <v>314</v>
      </c>
      <c r="F14" s="58"/>
      <c r="G14" s="58"/>
      <c r="H14" s="58"/>
    </row>
    <row r="15" spans="1:8" ht="15">
      <c r="A15" s="59"/>
      <c r="B15" s="130" t="s">
        <v>111</v>
      </c>
      <c r="C15" s="499">
        <v>0.01</v>
      </c>
      <c r="D15" s="58"/>
      <c r="E15" s="58" t="s">
        <v>315</v>
      </c>
      <c r="F15" s="58"/>
      <c r="G15" s="58"/>
      <c r="H15" s="58"/>
    </row>
    <row r="16" spans="1:8" ht="15">
      <c r="A16" s="59"/>
      <c r="B16" s="130" t="s">
        <v>112</v>
      </c>
      <c r="C16" s="499">
        <v>1.4999999999999999E-2</v>
      </c>
      <c r="D16" s="58"/>
      <c r="E16" s="58"/>
      <c r="F16" s="58"/>
      <c r="G16" s="58"/>
      <c r="H16" s="58"/>
    </row>
    <row r="17" spans="1:8" ht="15">
      <c r="A17" s="59"/>
      <c r="B17" s="258"/>
      <c r="C17" s="260"/>
      <c r="D17" s="58"/>
      <c r="E17" s="58"/>
      <c r="F17" s="58"/>
      <c r="G17" s="58"/>
      <c r="H17" s="58"/>
    </row>
    <row r="18" spans="1:8" ht="15">
      <c r="A18" s="59"/>
      <c r="B18" s="74" t="s">
        <v>113</v>
      </c>
      <c r="C18" s="505">
        <f>IFERROR(+C12+C14+C15+C16,"n.a.")</f>
        <v>0.22231100000000004</v>
      </c>
      <c r="D18" s="58"/>
      <c r="E18" s="58"/>
      <c r="F18" s="58"/>
      <c r="G18" s="58"/>
      <c r="H18" s="58"/>
    </row>
    <row r="19" spans="1:8" ht="15">
      <c r="A19" s="59"/>
      <c r="B19" s="258"/>
      <c r="C19" s="259"/>
      <c r="D19" s="58"/>
      <c r="E19" s="58"/>
      <c r="F19" s="58"/>
      <c r="G19" s="58"/>
      <c r="H19" s="58"/>
    </row>
    <row r="20" spans="1:8" ht="15">
      <c r="A20" s="59"/>
      <c r="B20" s="130" t="s">
        <v>316</v>
      </c>
      <c r="C20" s="500">
        <v>6.5000000000000002E-2</v>
      </c>
      <c r="D20" s="58"/>
      <c r="E20" s="58" t="s">
        <v>317</v>
      </c>
      <c r="F20" s="58"/>
      <c r="G20" s="58"/>
      <c r="H20" s="58"/>
    </row>
    <row r="21" spans="1:8" ht="15">
      <c r="A21" s="59"/>
      <c r="B21" s="72" t="s">
        <v>316</v>
      </c>
      <c r="C21" s="261">
        <f>+C20</f>
        <v>6.5000000000000002E-2</v>
      </c>
      <c r="D21" s="58"/>
      <c r="E21" s="58"/>
      <c r="F21" s="58"/>
      <c r="G21" s="58"/>
      <c r="H21" s="58"/>
    </row>
    <row r="22" spans="1:8" ht="15">
      <c r="A22" s="59"/>
      <c r="B22" s="258"/>
      <c r="C22" s="260"/>
      <c r="D22" s="58"/>
      <c r="E22" s="58"/>
      <c r="F22" s="58"/>
      <c r="G22" s="58"/>
      <c r="H22" s="58"/>
    </row>
    <row r="23" spans="1:8" ht="15">
      <c r="A23" s="59"/>
      <c r="B23" s="130" t="s">
        <v>114</v>
      </c>
      <c r="C23" s="500">
        <v>0.255</v>
      </c>
      <c r="D23" s="58"/>
      <c r="E23" s="58"/>
      <c r="F23" s="58"/>
      <c r="G23" s="58"/>
      <c r="H23" s="58"/>
    </row>
    <row r="24" spans="1:8" ht="15">
      <c r="A24" s="59"/>
      <c r="B24" s="258"/>
      <c r="C24" s="260"/>
      <c r="D24" s="58"/>
      <c r="E24" s="58"/>
      <c r="F24" s="58"/>
      <c r="G24" s="58"/>
      <c r="H24" s="58"/>
    </row>
    <row r="25" spans="1:8" ht="15">
      <c r="A25" s="59"/>
      <c r="B25" s="74" t="s">
        <v>115</v>
      </c>
      <c r="C25" s="262">
        <f>+C21*(1-C23)</f>
        <v>4.8425000000000003E-2</v>
      </c>
      <c r="D25" s="58"/>
      <c r="E25" s="58"/>
      <c r="F25" s="58"/>
      <c r="G25" s="58"/>
      <c r="H25" s="58"/>
    </row>
    <row r="26" spans="1:8" ht="15">
      <c r="A26" s="59"/>
      <c r="B26" s="258"/>
      <c r="C26" s="260"/>
      <c r="D26" s="58"/>
      <c r="E26" s="58"/>
      <c r="F26" s="58"/>
      <c r="G26" s="58"/>
      <c r="H26" s="58"/>
    </row>
    <row r="27" spans="1:8" ht="15">
      <c r="A27" s="59"/>
      <c r="B27" s="130" t="str">
        <f>B10</f>
        <v>Gearing (Net debt -to-equity ratio)</v>
      </c>
      <c r="C27" s="263">
        <f>C$10/(1+C$10)</f>
        <v>0</v>
      </c>
      <c r="D27" s="58"/>
      <c r="E27" s="58"/>
      <c r="F27" s="58"/>
      <c r="G27" s="58"/>
      <c r="H27" s="58"/>
    </row>
    <row r="28" spans="1:8" ht="15">
      <c r="A28" s="59"/>
      <c r="B28" s="258"/>
      <c r="C28" s="260"/>
      <c r="D28" s="58"/>
      <c r="E28" s="58"/>
      <c r="F28" s="58"/>
      <c r="G28" s="58"/>
      <c r="H28" s="58"/>
    </row>
    <row r="29" spans="1:8" ht="15">
      <c r="A29" s="59"/>
      <c r="B29" s="264" t="s">
        <v>116</v>
      </c>
      <c r="C29" s="262">
        <f>IFERROR(IF(C27&gt;0,C27*C25+(1-C27)*C18,C18),"n.a.")</f>
        <v>0.22231100000000004</v>
      </c>
      <c r="D29" s="265"/>
      <c r="E29" s="58"/>
      <c r="F29" s="58"/>
      <c r="G29" s="58"/>
      <c r="H29" s="58"/>
    </row>
    <row r="30" spans="1:8" ht="15">
      <c r="A30" s="59"/>
      <c r="B30" s="258"/>
      <c r="C30" s="259"/>
      <c r="D30" s="58"/>
      <c r="E30" s="58"/>
      <c r="F30" s="58"/>
      <c r="G30" s="58"/>
      <c r="H30" s="58"/>
    </row>
    <row r="31" spans="1:8" ht="15">
      <c r="A31" s="59"/>
      <c r="B31" s="258" t="s">
        <v>117</v>
      </c>
      <c r="C31" s="500">
        <v>3.5000000000000003E-2</v>
      </c>
      <c r="D31" s="58"/>
      <c r="E31" s="58" t="s">
        <v>311</v>
      </c>
      <c r="F31" s="58"/>
      <c r="G31" s="58"/>
      <c r="H31" s="58"/>
    </row>
    <row r="32" spans="1:8" ht="15">
      <c r="A32" s="59"/>
      <c r="B32" s="258"/>
      <c r="C32" s="260"/>
      <c r="D32" s="58"/>
      <c r="E32" s="58"/>
      <c r="F32" s="58"/>
      <c r="G32" s="58"/>
      <c r="H32" s="58"/>
    </row>
    <row r="33" spans="1:8" ht="15">
      <c r="A33" s="59"/>
      <c r="B33" s="266" t="s">
        <v>119</v>
      </c>
      <c r="C33" s="267">
        <f>+(1+C29)*(1+C31)-1</f>
        <v>0.26509188499999992</v>
      </c>
      <c r="D33" s="58"/>
      <c r="E33" s="58" t="s">
        <v>318</v>
      </c>
      <c r="F33" s="58"/>
      <c r="G33" s="58"/>
      <c r="H33" s="58"/>
    </row>
    <row r="34" spans="1:8" ht="16">
      <c r="A34" s="59"/>
      <c r="B34" s="255"/>
      <c r="C34" s="268"/>
      <c r="D34" s="58"/>
      <c r="E34" s="58"/>
      <c r="F34" s="58"/>
      <c r="G34" s="58"/>
      <c r="H34" s="58"/>
    </row>
    <row r="35" spans="1:8" ht="15">
      <c r="A35" s="59"/>
      <c r="B35" s="58"/>
      <c r="C35" s="58"/>
      <c r="D35" s="58"/>
      <c r="E35" s="58"/>
      <c r="F35" s="58"/>
      <c r="G35" s="58"/>
      <c r="H35" s="58"/>
    </row>
    <row r="36" spans="1:8" ht="15">
      <c r="A36" s="59"/>
      <c r="B36" s="58"/>
      <c r="C36" s="58"/>
      <c r="D36" s="58"/>
      <c r="E36" s="58"/>
      <c r="F36" s="58"/>
      <c r="G36" s="58"/>
      <c r="H36" s="58"/>
    </row>
    <row r="37" spans="1:8" ht="15">
      <c r="A37" s="59"/>
      <c r="B37" s="58"/>
      <c r="C37" s="58"/>
      <c r="D37" s="58"/>
      <c r="E37" s="58"/>
      <c r="F37" s="58"/>
      <c r="G37" s="58"/>
      <c r="H37" s="58"/>
    </row>
    <row r="38" spans="1:8" ht="15">
      <c r="A38" s="59"/>
      <c r="B38" s="58"/>
      <c r="C38" s="58"/>
      <c r="D38" s="58"/>
      <c r="E38" s="58"/>
      <c r="F38" s="58"/>
      <c r="G38" s="58"/>
      <c r="H38" s="58"/>
    </row>
    <row r="39" spans="1:8" ht="15">
      <c r="A39" s="59"/>
      <c r="B39" s="58"/>
      <c r="C39" s="58"/>
      <c r="D39" s="58"/>
      <c r="E39" s="58"/>
      <c r="F39" s="58"/>
      <c r="G39" s="58"/>
      <c r="H39" s="58"/>
    </row>
    <row r="68" spans="1:1" s="12" customFormat="1">
      <c r="A68" s="18">
        <v>2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C116"/>
  <sheetViews>
    <sheetView showGridLines="0" topLeftCell="A2" zoomScale="75" workbookViewId="0">
      <selection activeCell="I54" sqref="I54"/>
    </sheetView>
  </sheetViews>
  <sheetFormatPr baseColWidth="10" defaultColWidth="8.83203125" defaultRowHeight="14"/>
  <cols>
    <col min="1" max="1" width="2" style="21" customWidth="1"/>
    <col min="2" max="2" width="36" style="16" customWidth="1"/>
    <col min="3" max="3" width="16.83203125" style="16" customWidth="1"/>
    <col min="4" max="5" width="17.6640625" style="16" customWidth="1"/>
    <col min="6" max="6" width="12.33203125" style="16" customWidth="1"/>
    <col min="7" max="7" width="36.33203125" style="16" customWidth="1"/>
    <col min="8" max="8" width="12.83203125" style="16" customWidth="1"/>
    <col min="9" max="9" width="24.5" style="16" customWidth="1"/>
    <col min="10" max="14" width="12.33203125" style="16" customWidth="1"/>
    <col min="15" max="16384" width="8.83203125" style="16"/>
  </cols>
  <sheetData>
    <row r="1" spans="1:17" s="323" customFormat="1" ht="16">
      <c r="A1" s="297" t="s">
        <v>127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17" s="11" customFormat="1" ht="15">
      <c r="A2" s="6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s="327" customFormat="1" ht="15">
      <c r="A3" s="371">
        <v>1</v>
      </c>
      <c r="B3" s="372" t="s">
        <v>127</v>
      </c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</row>
    <row r="4" spans="1:17" s="11" customFormat="1" ht="15">
      <c r="A4" s="6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s="11" customFormat="1" ht="15">
      <c r="A5" s="65"/>
      <c r="B5" s="66" t="s">
        <v>21</v>
      </c>
      <c r="C5" s="67">
        <f>+C22-(CF!C20+CF!C22-PL!E32+PL!E31)</f>
        <v>-1943080.9647901356</v>
      </c>
      <c r="D5" s="67">
        <f>+D22-(CF!D20+CF!D22-PL!F32+PL!F31)</f>
        <v>-374794.63306206855</v>
      </c>
      <c r="E5" s="67">
        <f>+E22-(CF!E20+CF!E22-PL!G32+PL!G31)</f>
        <v>821841.98381105333</v>
      </c>
      <c r="F5" s="67">
        <f>+F22-(CF!F20+CF!F22-PL!H32+PL!H31)</f>
        <v>90001.552145652298</v>
      </c>
      <c r="G5" s="67">
        <f>+G22-(CF!G20+CF!G22-PL!I32+PL!I31)</f>
        <v>88006.555145318125</v>
      </c>
      <c r="H5" s="67">
        <f>+H22-(CF!H20+CF!H22-PL!J32+PL!J31)</f>
        <v>86013.250265290786</v>
      </c>
      <c r="I5" s="67">
        <f>+I22-(CF!I20+CF!I22-PL!K32+PL!K31)</f>
        <v>84019.977242786321</v>
      </c>
      <c r="J5" s="67">
        <f>+J22-(CF!J20+CF!J22-PL!L32+PL!L31)</f>
        <v>82026.704220281885</v>
      </c>
      <c r="K5" s="67">
        <f>+K22-(CF!K20+CF!K22-PL!M32+PL!M31)</f>
        <v>80083.43119777742</v>
      </c>
      <c r="L5" s="67">
        <f>+L22-(CF!L20+CF!L22-PL!N32+PL!N31)</f>
        <v>78040.158175272954</v>
      </c>
      <c r="M5" s="67">
        <f>+M22-(CF!M20+CF!M22-PL!O32+PL!O31)</f>
        <v>76046.885152768489</v>
      </c>
      <c r="N5" s="67">
        <f>+N22-(CF!N20+CF!N22-PL!P32+PL!P31)</f>
        <v>74053.612130264082</v>
      </c>
      <c r="O5" s="56"/>
      <c r="P5" s="56"/>
      <c r="Q5" s="56"/>
    </row>
    <row r="6" spans="1:17" s="11" customFormat="1" ht="15">
      <c r="A6" s="6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s="11" customFormat="1" ht="16" thickBot="1">
      <c r="A7" s="65"/>
      <c r="B7" s="346" t="s">
        <v>123</v>
      </c>
      <c r="C7" s="34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s="11" customFormat="1" ht="15">
      <c r="A8" s="65"/>
      <c r="B8" s="62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s="11" customFormat="1" ht="15">
      <c r="A9" s="65"/>
      <c r="B9" s="62" t="s">
        <v>124</v>
      </c>
      <c r="C9" s="506">
        <f>+WACC!C33</f>
        <v>0.26509188499999992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s="11" customFormat="1" ht="15">
      <c r="A10" s="65"/>
      <c r="B10" s="62" t="s">
        <v>267</v>
      </c>
      <c r="C10" s="507">
        <v>1.4999999999999999E-2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s="11" customFormat="1" ht="15">
      <c r="A11" s="65"/>
      <c r="B11" s="62"/>
      <c r="C11" s="293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s="11" customFormat="1" ht="15">
      <c r="A12" s="6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s="11" customFormat="1" ht="16" thickBot="1">
      <c r="A13" s="65"/>
      <c r="B13" s="346" t="s">
        <v>125</v>
      </c>
      <c r="C13" s="347">
        <f>'Historicals &amp; Projections'!G6</f>
        <v>2026</v>
      </c>
      <c r="D13" s="347">
        <f>'Historicals &amp; Projections'!H6</f>
        <v>2027</v>
      </c>
      <c r="E13" s="347">
        <f>'Historicals &amp; Projections'!I6</f>
        <v>2028</v>
      </c>
      <c r="F13" s="347">
        <f>+E13+1</f>
        <v>2029</v>
      </c>
      <c r="G13" s="347">
        <f>+F13+1</f>
        <v>2030</v>
      </c>
      <c r="H13" s="347">
        <f>+G13+1</f>
        <v>2031</v>
      </c>
      <c r="I13" s="347">
        <f t="shared" ref="I13:N13" si="0">+H13+1</f>
        <v>2032</v>
      </c>
      <c r="J13" s="347">
        <f t="shared" si="0"/>
        <v>2033</v>
      </c>
      <c r="K13" s="347">
        <f t="shared" si="0"/>
        <v>2034</v>
      </c>
      <c r="L13" s="347">
        <f t="shared" si="0"/>
        <v>2035</v>
      </c>
      <c r="M13" s="347">
        <f t="shared" si="0"/>
        <v>2036</v>
      </c>
      <c r="N13" s="347">
        <f t="shared" si="0"/>
        <v>2037</v>
      </c>
      <c r="O13" s="56"/>
      <c r="P13" s="56"/>
      <c r="Q13" s="56"/>
    </row>
    <row r="14" spans="1:17" s="11" customFormat="1" ht="15">
      <c r="A14" s="65"/>
      <c r="B14" s="62"/>
      <c r="C14" s="62"/>
      <c r="D14" s="62"/>
      <c r="E14" s="62"/>
      <c r="F14" s="62"/>
      <c r="G14" s="62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s="11" customFormat="1" ht="15">
      <c r="A15" s="65"/>
      <c r="B15" s="109" t="s">
        <v>362</v>
      </c>
      <c r="C15" s="492">
        <f>'Historicals &amp; Projections'!G61</f>
        <v>-1020238.7438224157</v>
      </c>
      <c r="D15" s="492">
        <f>'Historicals &amp; Projections'!H61</f>
        <v>-237472.54645788786</v>
      </c>
      <c r="E15" s="492">
        <f>'Historicals &amp; Projections'!I61</f>
        <v>345566.41940872965</v>
      </c>
      <c r="F15" s="492"/>
      <c r="G15" s="492"/>
      <c r="H15" s="492"/>
      <c r="I15" s="492"/>
      <c r="J15" s="492"/>
      <c r="K15" s="492"/>
      <c r="L15" s="492"/>
      <c r="M15" s="492"/>
      <c r="N15" s="492"/>
      <c r="O15" s="56"/>
      <c r="P15" s="56"/>
      <c r="Q15" s="56"/>
    </row>
    <row r="16" spans="1:17" s="11" customFormat="1" ht="15">
      <c r="A16" s="65"/>
      <c r="B16" s="109" t="s">
        <v>281</v>
      </c>
      <c r="C16" s="492">
        <f>'Historicals &amp; Projections'!G57</f>
        <v>-1019890.7438224157</v>
      </c>
      <c r="D16" s="492">
        <f>'Historicals &amp; Projections'!H57</f>
        <v>-233916.21312455452</v>
      </c>
      <c r="E16" s="492">
        <f>'Historicals &amp; Projections'!I57</f>
        <v>365414.41940872965</v>
      </c>
      <c r="F16" s="492"/>
      <c r="G16" s="492"/>
      <c r="H16" s="492"/>
      <c r="I16" s="492"/>
      <c r="J16" s="492"/>
      <c r="K16" s="492"/>
      <c r="L16" s="492"/>
      <c r="M16" s="492"/>
      <c r="N16" s="492"/>
      <c r="O16" s="56"/>
      <c r="P16" s="56"/>
      <c r="Q16" s="56"/>
    </row>
    <row r="17" spans="1:17" s="11" customFormat="1" ht="15">
      <c r="A17" s="65"/>
      <c r="B17" s="62"/>
      <c r="C17" s="117"/>
      <c r="D17" s="117"/>
      <c r="E17" s="117"/>
      <c r="F17" s="117"/>
      <c r="G17" s="117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s="11" customFormat="1" ht="15">
      <c r="A18" s="65"/>
      <c r="B18" s="105" t="s">
        <v>37</v>
      </c>
      <c r="C18" s="442">
        <f>-'Historicals &amp; Projections'!G67</f>
        <v>0</v>
      </c>
      <c r="D18" s="442">
        <f>-'Historicals &amp; Projections'!H67</f>
        <v>0</v>
      </c>
      <c r="E18" s="442">
        <f>-'Historicals &amp; Projections'!I67</f>
        <v>0</v>
      </c>
      <c r="F18" s="442"/>
      <c r="G18" s="442"/>
      <c r="H18" s="442"/>
      <c r="I18" s="442"/>
      <c r="J18" s="442"/>
      <c r="K18" s="442"/>
      <c r="L18" s="442"/>
      <c r="M18" s="442"/>
      <c r="N18" s="442"/>
      <c r="O18" s="56"/>
      <c r="P18" s="56"/>
      <c r="Q18" s="56"/>
    </row>
    <row r="19" spans="1:17" s="11" customFormat="1" ht="15">
      <c r="A19" s="65"/>
      <c r="B19" s="105" t="s">
        <v>363</v>
      </c>
      <c r="C19" s="442">
        <f>-'Historicals &amp; Projections'!G51+'Historicals &amp; Projections'!G52+'Historicals &amp; Projections'!G53+'Historicals &amp; Projections'!G54+'Historicals &amp; Projections'!G59</f>
        <v>1900.4885193850268</v>
      </c>
      <c r="D19" s="442">
        <f>-'Historicals &amp; Projections'!H51+'Historicals &amp; Projections'!H52+'Historicals &amp; Projections'!H53+'Historicals &amp; Projections'!H54+'Historicals &amp; Projections'!H59</f>
        <v>10074.928336675577</v>
      </c>
      <c r="E19" s="442">
        <f>-'Historicals &amp; Projections'!I51+'Historicals &amp; Projections'!I52+'Historicals &amp; Projections'!I53+'Historicals &amp; Projections'!I54+'Historicals &amp; Projections'!I59</f>
        <v>31736.6893967246</v>
      </c>
      <c r="F19" s="442"/>
      <c r="G19" s="442"/>
      <c r="H19" s="442"/>
      <c r="I19" s="442"/>
      <c r="J19" s="442"/>
      <c r="K19" s="442"/>
      <c r="L19" s="442"/>
      <c r="M19" s="442"/>
      <c r="N19" s="442"/>
      <c r="O19" s="56"/>
      <c r="P19" s="56"/>
      <c r="Q19" s="56"/>
    </row>
    <row r="20" spans="1:17" s="11" customFormat="1" ht="15">
      <c r="A20" s="65"/>
      <c r="B20" s="105" t="s">
        <v>121</v>
      </c>
      <c r="C20" s="442">
        <f>SUM('Historicals &amp; Projections'!G81:G85)</f>
        <v>-1589.1445013090463</v>
      </c>
      <c r="D20" s="442">
        <f>SUM('Historicals &amp; Projections'!H81:H85)</f>
        <v>-7472.347962622548</v>
      </c>
      <c r="E20" s="442">
        <f>SUM('Historicals &amp; Projections'!I81:I85)</f>
        <v>-12872.093549117091</v>
      </c>
      <c r="F20" s="442"/>
      <c r="G20" s="442"/>
      <c r="H20" s="442"/>
      <c r="I20" s="442"/>
      <c r="J20" s="442"/>
      <c r="K20" s="442"/>
      <c r="L20" s="442"/>
      <c r="M20" s="442"/>
      <c r="N20" s="442"/>
      <c r="O20" s="56"/>
      <c r="P20" s="56"/>
      <c r="Q20" s="56"/>
    </row>
    <row r="21" spans="1:17" s="11" customFormat="1" ht="15">
      <c r="A21" s="65"/>
      <c r="B21" s="105" t="s">
        <v>122</v>
      </c>
      <c r="C21" s="442">
        <f>+'Historicals &amp; Projections'!G89</f>
        <v>0</v>
      </c>
      <c r="D21" s="442">
        <f>+'Historicals &amp; Projections'!H89</f>
        <v>0</v>
      </c>
      <c r="E21" s="442">
        <f>+'Historicals &amp; Projections'!I89</f>
        <v>0</v>
      </c>
      <c r="F21" s="442"/>
      <c r="G21" s="442"/>
      <c r="H21" s="442"/>
      <c r="I21" s="442"/>
      <c r="J21" s="442"/>
      <c r="K21" s="442"/>
      <c r="L21" s="442"/>
      <c r="M21" s="442"/>
      <c r="N21" s="442"/>
      <c r="O21" s="56"/>
      <c r="P21" s="56"/>
      <c r="Q21" s="56"/>
    </row>
    <row r="22" spans="1:17" s="11" customFormat="1" ht="15">
      <c r="A22" s="65"/>
      <c r="B22" s="109" t="s">
        <v>120</v>
      </c>
      <c r="C22" s="443">
        <f>SUM(C15:C21)</f>
        <v>-2039818.1436267556</v>
      </c>
      <c r="D22" s="443">
        <f>SUM(D15:D21)</f>
        <v>-468786.17920838931</v>
      </c>
      <c r="E22" s="443">
        <f>SUM(E15:E21)</f>
        <v>729845.43466506677</v>
      </c>
      <c r="F22" s="443"/>
      <c r="G22" s="443"/>
      <c r="H22" s="443"/>
      <c r="I22" s="443"/>
      <c r="J22" s="443"/>
      <c r="K22" s="443"/>
      <c r="L22" s="443"/>
      <c r="M22" s="443"/>
      <c r="N22" s="443"/>
      <c r="O22" s="56"/>
      <c r="P22" s="56"/>
      <c r="Q22" s="56"/>
    </row>
    <row r="23" spans="1:17" s="11" customFormat="1" ht="15">
      <c r="A23" s="65"/>
      <c r="B23" s="62"/>
      <c r="C23" s="118"/>
      <c r="D23" s="118"/>
      <c r="E23" s="118"/>
      <c r="F23" s="118"/>
      <c r="G23" s="118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s="11" customFormat="1" ht="15">
      <c r="A24" s="65"/>
      <c r="B24" s="105" t="s">
        <v>126</v>
      </c>
      <c r="C24" s="508">
        <f>POWER(1+C9,1)</f>
        <v>1.2650918849999999</v>
      </c>
      <c r="D24" s="508">
        <f>+C24*(1+$C$9)</f>
        <v>1.6004574774928531</v>
      </c>
      <c r="E24" s="508">
        <f>+D24*(1+$C$9)</f>
        <v>2.0247257670637784</v>
      </c>
      <c r="F24" s="508"/>
      <c r="G24" s="508"/>
      <c r="H24" s="508"/>
      <c r="I24" s="508"/>
      <c r="J24" s="508"/>
      <c r="K24" s="508"/>
      <c r="L24" s="508"/>
      <c r="M24" s="508"/>
      <c r="N24" s="508"/>
      <c r="O24" s="56"/>
      <c r="P24" s="56"/>
      <c r="Q24" s="56"/>
    </row>
    <row r="25" spans="1:17" s="11" customFormat="1" ht="15">
      <c r="A25" s="65"/>
      <c r="B25" s="105"/>
      <c r="C25" s="117"/>
      <c r="D25" s="117"/>
      <c r="E25" s="117"/>
      <c r="F25" s="117"/>
      <c r="G25" s="117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5">
      <c r="A26" s="59"/>
      <c r="B26" s="109" t="s">
        <v>127</v>
      </c>
      <c r="C26" s="443">
        <f>+C22/C24</f>
        <v>-1612387.3434116256</v>
      </c>
      <c r="D26" s="443">
        <f>+D22/D24</f>
        <v>-292907.61285501427</v>
      </c>
      <c r="E26" s="443">
        <f>+E22/E24</f>
        <v>360466.31427201902</v>
      </c>
      <c r="F26" s="443"/>
      <c r="G26" s="443"/>
      <c r="H26" s="443"/>
      <c r="I26" s="443"/>
      <c r="J26" s="443"/>
      <c r="K26" s="443"/>
      <c r="L26" s="443"/>
      <c r="M26" s="443"/>
      <c r="N26" s="443"/>
      <c r="O26" s="58"/>
      <c r="P26" s="58"/>
      <c r="Q26" s="58"/>
    </row>
    <row r="27" spans="1:17" ht="15">
      <c r="A27" s="59"/>
      <c r="B27" s="62"/>
      <c r="C27" s="62"/>
      <c r="D27" s="62"/>
      <c r="E27" s="62"/>
      <c r="F27" s="62"/>
      <c r="G27" s="62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15">
      <c r="A28" s="59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7" thickBot="1">
      <c r="A29" s="59"/>
      <c r="B29" s="346" t="s">
        <v>587</v>
      </c>
      <c r="C29" s="373" t="s">
        <v>255</v>
      </c>
      <c r="D29" s="58"/>
      <c r="E29" s="58"/>
      <c r="F29" s="58"/>
      <c r="G29" s="346" t="s">
        <v>588</v>
      </c>
      <c r="H29" s="373" t="s">
        <v>255</v>
      </c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5">
      <c r="A30" s="59"/>
      <c r="B30" s="62"/>
      <c r="C30" s="62"/>
      <c r="D30" s="58"/>
      <c r="E30" s="58"/>
      <c r="F30" s="58"/>
      <c r="G30" s="62"/>
      <c r="H30" s="62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15">
      <c r="A31" s="59"/>
      <c r="B31" s="138" t="s">
        <v>585</v>
      </c>
      <c r="C31" s="509">
        <f>SUM(C26:N26)</f>
        <v>-1544828.6419946207</v>
      </c>
      <c r="D31" s="58"/>
      <c r="E31" s="290"/>
      <c r="F31" s="58"/>
      <c r="G31" s="138" t="s">
        <v>582</v>
      </c>
      <c r="H31" s="509">
        <f>E16</f>
        <v>365414.41940872965</v>
      </c>
      <c r="I31" s="58"/>
      <c r="J31" s="58"/>
      <c r="K31" s="58"/>
      <c r="L31" s="58"/>
      <c r="M31" s="58"/>
      <c r="N31" s="58"/>
      <c r="O31" s="58"/>
      <c r="P31" s="58"/>
      <c r="Q31" s="58"/>
    </row>
    <row r="32" spans="1:17" ht="15">
      <c r="A32" s="59"/>
      <c r="B32" s="62"/>
      <c r="C32" s="117"/>
      <c r="D32" s="58"/>
      <c r="E32" s="58"/>
      <c r="F32" s="58"/>
      <c r="G32" s="62"/>
      <c r="H32" s="117"/>
      <c r="I32" s="58"/>
      <c r="J32" s="58"/>
      <c r="K32" s="58"/>
      <c r="L32" s="58"/>
      <c r="M32" s="58"/>
      <c r="N32" s="58"/>
      <c r="O32" s="58"/>
      <c r="P32" s="58"/>
      <c r="Q32" s="58"/>
    </row>
    <row r="33" spans="1:17" ht="15">
      <c r="A33" s="59"/>
      <c r="B33" s="62" t="s">
        <v>602</v>
      </c>
      <c r="C33" s="442">
        <f>+E22*(1+C10)/(C9-C10)</f>
        <v>2962083.7804674986</v>
      </c>
      <c r="D33" s="58"/>
      <c r="E33" s="79"/>
      <c r="F33" s="58"/>
      <c r="G33" s="62" t="s">
        <v>583</v>
      </c>
      <c r="H33" s="442">
        <v>7</v>
      </c>
      <c r="I33" s="58"/>
      <c r="J33" s="58"/>
      <c r="K33" s="58"/>
      <c r="L33" s="58"/>
      <c r="M33" s="58"/>
      <c r="N33" s="58"/>
      <c r="O33" s="58"/>
      <c r="P33" s="58"/>
      <c r="Q33" s="58"/>
    </row>
    <row r="34" spans="1:17" ht="15">
      <c r="A34" s="59"/>
      <c r="B34" s="138" t="s">
        <v>129</v>
      </c>
      <c r="C34" s="509">
        <f>+C33/E24</f>
        <v>1462955.5412647612</v>
      </c>
      <c r="D34" s="58"/>
      <c r="E34" s="79"/>
      <c r="F34" s="58"/>
      <c r="G34" s="138" t="s">
        <v>128</v>
      </c>
      <c r="H34" s="509">
        <f>+H31*H33</f>
        <v>2557900.9358611074</v>
      </c>
      <c r="I34" s="58"/>
      <c r="J34" s="58"/>
      <c r="K34" s="58"/>
      <c r="L34" s="58"/>
      <c r="M34" s="58"/>
      <c r="N34" s="58"/>
      <c r="O34" s="58"/>
      <c r="P34" s="58"/>
      <c r="Q34" s="58"/>
    </row>
    <row r="35" spans="1:17" ht="15">
      <c r="A35" s="59"/>
      <c r="B35" s="62"/>
      <c r="C35" s="117"/>
      <c r="D35" s="58"/>
      <c r="E35" s="58"/>
      <c r="F35" s="58"/>
      <c r="G35" s="62" t="s">
        <v>126</v>
      </c>
      <c r="H35" s="508">
        <f>E24</f>
        <v>2.0247257670637784</v>
      </c>
      <c r="I35" s="58"/>
      <c r="J35" s="58"/>
      <c r="K35" s="58"/>
      <c r="L35" s="58"/>
      <c r="M35" s="58"/>
      <c r="N35" s="58"/>
      <c r="O35" s="58"/>
      <c r="P35" s="58"/>
      <c r="Q35" s="58"/>
    </row>
    <row r="36" spans="1:17" ht="15">
      <c r="A36" s="59"/>
      <c r="B36" s="109" t="s">
        <v>132</v>
      </c>
      <c r="C36" s="443">
        <f>+C31+C34</f>
        <v>-81873.100729859434</v>
      </c>
      <c r="D36" s="58"/>
      <c r="E36" s="58"/>
      <c r="F36" s="58"/>
      <c r="I36" s="58"/>
      <c r="J36" s="58"/>
      <c r="K36" s="58"/>
      <c r="L36" s="58"/>
      <c r="M36" s="58"/>
      <c r="N36" s="58"/>
      <c r="O36" s="58"/>
      <c r="P36" s="58"/>
      <c r="Q36" s="58"/>
    </row>
    <row r="37" spans="1:17" ht="15">
      <c r="A37" s="59"/>
      <c r="B37" s="62"/>
      <c r="C37" s="117"/>
      <c r="D37" s="58"/>
      <c r="E37" s="58"/>
      <c r="F37" s="58"/>
      <c r="G37" s="109" t="s">
        <v>584</v>
      </c>
      <c r="H37" s="443">
        <f>H34/H35</f>
        <v>1263332.0410450103</v>
      </c>
      <c r="I37" s="58"/>
      <c r="J37" s="58"/>
      <c r="K37" s="58"/>
      <c r="L37" s="58"/>
      <c r="M37" s="58"/>
      <c r="N37" s="58"/>
      <c r="O37" s="58"/>
      <c r="P37" s="58"/>
      <c r="Q37" s="58"/>
    </row>
    <row r="38" spans="1:17" ht="15">
      <c r="A38" s="59"/>
      <c r="B38" s="105" t="s">
        <v>133</v>
      </c>
      <c r="C38" s="442">
        <f>+'Historicals &amp; Projections'!D8</f>
        <v>1310</v>
      </c>
      <c r="D38" s="58"/>
      <c r="E38" s="58"/>
      <c r="F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1:17" ht="15">
      <c r="A39" s="59"/>
      <c r="B39" s="105" t="s">
        <v>134</v>
      </c>
      <c r="C39" s="441"/>
      <c r="D39" s="58"/>
      <c r="E39" s="58"/>
      <c r="F39" s="58"/>
      <c r="G39" s="16" t="str">
        <f>B31</f>
        <v>Cumulated DCF (PV of FCF)</v>
      </c>
      <c r="H39" s="292">
        <f>SUM($C$26:$N$26)</f>
        <v>-1544828.6419946207</v>
      </c>
      <c r="I39" s="58"/>
      <c r="J39" s="58"/>
      <c r="K39" s="58"/>
      <c r="L39" s="58"/>
      <c r="M39" s="58"/>
      <c r="N39" s="58"/>
      <c r="O39" s="58"/>
      <c r="P39" s="58"/>
      <c r="Q39" s="58"/>
    </row>
    <row r="40" spans="1:17" ht="15">
      <c r="A40" s="59"/>
      <c r="B40" s="105" t="s">
        <v>135</v>
      </c>
      <c r="C40" s="441"/>
      <c r="D40" s="58"/>
      <c r="E40" s="58"/>
      <c r="F40" s="58"/>
      <c r="I40" s="58"/>
      <c r="J40" s="58"/>
      <c r="K40" s="58"/>
      <c r="L40" s="58"/>
      <c r="M40" s="58"/>
      <c r="N40" s="58"/>
      <c r="O40" s="58"/>
      <c r="P40" s="58"/>
      <c r="Q40" s="58"/>
    </row>
    <row r="41" spans="1:17" ht="15">
      <c r="A41" s="59"/>
      <c r="B41" s="105" t="s">
        <v>136</v>
      </c>
      <c r="C41" s="441"/>
      <c r="D41" s="58"/>
      <c r="E41" s="58"/>
      <c r="F41" s="58"/>
      <c r="G41" s="122" t="s">
        <v>586</v>
      </c>
      <c r="H41" s="183">
        <f>H37+H39</f>
        <v>-281496.60094961035</v>
      </c>
      <c r="I41" s="58"/>
      <c r="J41" s="58"/>
      <c r="K41" s="58"/>
      <c r="L41" s="58"/>
      <c r="M41" s="58"/>
      <c r="N41" s="58"/>
      <c r="O41" s="58"/>
      <c r="P41" s="58"/>
      <c r="Q41" s="58"/>
    </row>
    <row r="42" spans="1:17" ht="15">
      <c r="A42" s="59"/>
      <c r="B42" s="105" t="s">
        <v>137</v>
      </c>
      <c r="C42" s="441"/>
      <c r="D42" s="58"/>
      <c r="E42" s="58"/>
      <c r="F42" s="58"/>
      <c r="G42" s="62"/>
      <c r="H42" s="117"/>
      <c r="I42" s="58"/>
      <c r="J42" s="58"/>
      <c r="K42" s="58"/>
      <c r="L42" s="58"/>
      <c r="M42" s="58"/>
      <c r="N42" s="58"/>
      <c r="O42" s="58"/>
      <c r="P42" s="58"/>
      <c r="Q42" s="58"/>
    </row>
    <row r="43" spans="1:17" ht="15">
      <c r="A43" s="59"/>
      <c r="B43" s="109" t="s">
        <v>146</v>
      </c>
      <c r="C43" s="443">
        <f>SUM(C38:C42)</f>
        <v>1310</v>
      </c>
      <c r="D43" s="58"/>
      <c r="E43" s="58"/>
      <c r="F43" s="58"/>
      <c r="G43" s="105" t="s">
        <v>18</v>
      </c>
      <c r="H43" s="441">
        <f>C47</f>
        <v>-720</v>
      </c>
      <c r="I43" s="58"/>
      <c r="J43" s="58"/>
      <c r="K43" s="58"/>
      <c r="L43" s="58"/>
      <c r="M43" s="58"/>
      <c r="N43" s="58"/>
      <c r="O43" s="58"/>
      <c r="P43" s="58"/>
      <c r="Q43" s="58"/>
    </row>
    <row r="44" spans="1:17" ht="15">
      <c r="A44" s="59"/>
      <c r="B44" s="62"/>
      <c r="C44" s="117"/>
      <c r="D44" s="58"/>
      <c r="E44" s="58"/>
      <c r="F44" s="58"/>
      <c r="G44" s="109" t="s">
        <v>145</v>
      </c>
      <c r="H44" s="441">
        <f>+H43</f>
        <v>-720</v>
      </c>
      <c r="I44" s="58"/>
      <c r="J44" s="58"/>
      <c r="K44" s="58"/>
      <c r="L44" s="58"/>
      <c r="M44" s="58"/>
      <c r="N44" s="58"/>
      <c r="O44" s="58"/>
      <c r="P44" s="58"/>
      <c r="Q44" s="58"/>
    </row>
    <row r="45" spans="1:17" ht="15">
      <c r="A45" s="59"/>
      <c r="B45" s="122" t="s">
        <v>131</v>
      </c>
      <c r="C45" s="183">
        <f>+C36+C43</f>
        <v>-80563.100729859434</v>
      </c>
      <c r="D45" s="58"/>
      <c r="E45" s="58"/>
      <c r="F45" s="58"/>
      <c r="G45" s="62"/>
      <c r="H45" s="117"/>
      <c r="I45" s="58"/>
      <c r="J45" s="58"/>
      <c r="K45" s="58"/>
      <c r="L45" s="58"/>
      <c r="M45" s="58"/>
      <c r="N45" s="58"/>
      <c r="O45" s="58"/>
      <c r="P45" s="58"/>
      <c r="Q45" s="58"/>
    </row>
    <row r="46" spans="1:17" ht="15">
      <c r="A46" s="59"/>
      <c r="B46" s="62"/>
      <c r="C46" s="117"/>
      <c r="D46" s="58"/>
      <c r="E46" s="58"/>
      <c r="F46" s="58"/>
      <c r="G46" s="105" t="s">
        <v>138</v>
      </c>
      <c r="H46" s="441"/>
      <c r="I46" s="58"/>
      <c r="J46" s="58"/>
      <c r="K46" s="58"/>
      <c r="L46" s="58"/>
      <c r="M46" s="58"/>
      <c r="N46" s="58"/>
      <c r="O46" s="58"/>
      <c r="P46" s="58"/>
      <c r="Q46" s="58"/>
    </row>
    <row r="47" spans="1:17" ht="15">
      <c r="A47" s="59"/>
      <c r="B47" s="105" t="s">
        <v>18</v>
      </c>
      <c r="C47" s="442">
        <f>-'Historicals &amp; Projections'!D28-'Historicals &amp; Projections'!D22</f>
        <v>-720</v>
      </c>
      <c r="D47" s="58"/>
      <c r="E47" s="58"/>
      <c r="F47" s="58"/>
      <c r="G47" s="105" t="s">
        <v>139</v>
      </c>
      <c r="H47" s="441"/>
      <c r="I47" s="58"/>
      <c r="J47" s="58"/>
      <c r="K47" s="58"/>
      <c r="L47" s="58"/>
      <c r="M47" s="58"/>
      <c r="N47" s="58"/>
      <c r="O47" s="58"/>
      <c r="P47" s="58"/>
      <c r="Q47" s="58"/>
    </row>
    <row r="48" spans="1:17" ht="15">
      <c r="A48" s="59"/>
      <c r="B48" s="109" t="s">
        <v>145</v>
      </c>
      <c r="C48" s="443">
        <f>+C47</f>
        <v>-720</v>
      </c>
      <c r="D48" s="58"/>
      <c r="E48" s="58"/>
      <c r="F48" s="58"/>
      <c r="G48" s="105" t="s">
        <v>140</v>
      </c>
      <c r="H48" s="441"/>
      <c r="I48" s="58"/>
      <c r="J48" s="58"/>
      <c r="K48" s="58"/>
      <c r="L48" s="58"/>
      <c r="M48" s="58"/>
      <c r="N48" s="58"/>
      <c r="O48" s="58"/>
      <c r="P48" s="58"/>
      <c r="Q48" s="58"/>
    </row>
    <row r="49" spans="1:17" ht="15">
      <c r="A49" s="59"/>
      <c r="B49" s="62"/>
      <c r="C49" s="117"/>
      <c r="D49" s="58"/>
      <c r="E49" s="58"/>
      <c r="F49" s="58"/>
      <c r="G49" s="109" t="s">
        <v>147</v>
      </c>
      <c r="H49" s="443">
        <f>SUM(H46:H48)</f>
        <v>0</v>
      </c>
      <c r="I49" s="58"/>
      <c r="J49" s="58"/>
      <c r="K49" s="58"/>
      <c r="L49" s="58"/>
      <c r="M49" s="58"/>
      <c r="N49" s="58"/>
      <c r="O49" s="58"/>
      <c r="P49" s="58"/>
      <c r="Q49" s="58"/>
    </row>
    <row r="50" spans="1:17" ht="15">
      <c r="A50" s="59"/>
      <c r="B50" s="105" t="s">
        <v>138</v>
      </c>
      <c r="C50" s="441"/>
      <c r="D50" s="58"/>
      <c r="E50" s="58"/>
      <c r="F50" s="58"/>
      <c r="G50" s="62"/>
      <c r="H50" s="117"/>
      <c r="I50" s="58"/>
      <c r="J50" s="58"/>
      <c r="K50" s="58"/>
      <c r="L50" s="58"/>
      <c r="M50" s="58"/>
      <c r="N50" s="58"/>
      <c r="O50" s="58"/>
      <c r="P50" s="58"/>
      <c r="Q50" s="58"/>
    </row>
    <row r="51" spans="1:17" ht="15">
      <c r="A51" s="59"/>
      <c r="B51" s="105" t="s">
        <v>139</v>
      </c>
      <c r="C51" s="441"/>
      <c r="D51" s="58"/>
      <c r="E51" s="58"/>
      <c r="F51" s="58"/>
      <c r="G51" s="62"/>
      <c r="H51" s="117"/>
      <c r="I51" s="58"/>
      <c r="J51" s="58"/>
      <c r="K51" s="58"/>
      <c r="L51" s="58"/>
      <c r="M51" s="58"/>
      <c r="N51" s="58"/>
      <c r="O51" s="58"/>
      <c r="P51" s="58"/>
      <c r="Q51" s="58"/>
    </row>
    <row r="52" spans="1:17" ht="15">
      <c r="A52" s="59"/>
      <c r="B52" s="105" t="s">
        <v>140</v>
      </c>
      <c r="C52" s="441"/>
      <c r="D52" s="58"/>
      <c r="E52" s="58"/>
      <c r="F52" s="58"/>
      <c r="G52" s="105" t="s">
        <v>141</v>
      </c>
      <c r="H52" s="441"/>
      <c r="I52" s="58"/>
      <c r="J52" s="58"/>
      <c r="K52" s="58"/>
      <c r="L52" s="58"/>
      <c r="M52" s="58"/>
      <c r="N52" s="58"/>
      <c r="O52" s="58"/>
      <c r="P52" s="58"/>
      <c r="Q52" s="58"/>
    </row>
    <row r="53" spans="1:17" ht="15">
      <c r="A53" s="59"/>
      <c r="B53" s="109" t="s">
        <v>147</v>
      </c>
      <c r="C53" s="443">
        <f>SUM(C50:C52)</f>
        <v>0</v>
      </c>
      <c r="D53" s="58"/>
      <c r="E53" s="58"/>
      <c r="F53" s="58"/>
      <c r="G53" s="105" t="s">
        <v>142</v>
      </c>
      <c r="H53" s="441"/>
      <c r="I53" s="58"/>
      <c r="J53" s="58"/>
      <c r="K53" s="58"/>
      <c r="L53" s="58"/>
      <c r="M53" s="58"/>
      <c r="N53" s="58"/>
      <c r="O53" s="58"/>
      <c r="P53" s="58"/>
      <c r="Q53" s="58"/>
    </row>
    <row r="54" spans="1:17" ht="15">
      <c r="A54" s="59"/>
      <c r="B54" s="62"/>
      <c r="C54" s="117"/>
      <c r="D54" s="58"/>
      <c r="E54" s="98"/>
      <c r="F54" s="58"/>
      <c r="G54" s="105" t="s">
        <v>143</v>
      </c>
      <c r="H54" s="441"/>
      <c r="I54" s="58"/>
      <c r="J54" s="58"/>
      <c r="K54" s="58"/>
      <c r="L54" s="58"/>
      <c r="M54" s="58"/>
      <c r="N54" s="58"/>
      <c r="O54" s="58"/>
      <c r="P54" s="58"/>
      <c r="Q54" s="58"/>
    </row>
    <row r="55" spans="1:17" ht="15">
      <c r="A55" s="59"/>
      <c r="B55" s="62"/>
      <c r="C55" s="510"/>
      <c r="D55" s="58"/>
      <c r="E55" s="58"/>
      <c r="F55" s="58"/>
      <c r="G55" s="109" t="s">
        <v>148</v>
      </c>
      <c r="H55" s="443">
        <f>SUM(H52:H54)</f>
        <v>0</v>
      </c>
      <c r="I55" s="58"/>
      <c r="J55" s="58"/>
      <c r="K55" s="58"/>
      <c r="L55" s="58"/>
      <c r="M55" s="58"/>
      <c r="N55" s="58"/>
      <c r="O55" s="58"/>
      <c r="P55" s="58"/>
      <c r="Q55" s="58"/>
    </row>
    <row r="56" spans="1:17" ht="15">
      <c r="A56" s="59"/>
      <c r="B56" s="105" t="s">
        <v>141</v>
      </c>
      <c r="C56" s="441"/>
      <c r="D56" s="58"/>
      <c r="E56" s="58"/>
      <c r="F56" s="58"/>
      <c r="G56" s="62"/>
      <c r="H56" s="62"/>
      <c r="I56" s="58"/>
      <c r="J56" s="58"/>
      <c r="K56" s="58"/>
      <c r="L56" s="58"/>
      <c r="M56" s="58"/>
      <c r="N56" s="58"/>
      <c r="O56" s="58"/>
      <c r="P56" s="58"/>
      <c r="Q56" s="58"/>
    </row>
    <row r="57" spans="1:17" ht="15">
      <c r="A57" s="59"/>
      <c r="B57" s="105" t="s">
        <v>142</v>
      </c>
      <c r="C57" s="441"/>
      <c r="D57" s="58"/>
      <c r="E57" s="58"/>
      <c r="F57" s="58"/>
      <c r="I57" s="58"/>
      <c r="J57" s="58"/>
      <c r="K57" s="58"/>
      <c r="L57" s="58"/>
      <c r="M57" s="58"/>
      <c r="N57" s="58"/>
      <c r="O57" s="58"/>
      <c r="P57" s="58"/>
      <c r="Q57" s="58"/>
    </row>
    <row r="58" spans="1:17" ht="15">
      <c r="A58" s="59"/>
      <c r="B58" s="105" t="s">
        <v>143</v>
      </c>
      <c r="C58" s="441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ht="15">
      <c r="A59" s="59"/>
      <c r="B59" s="109" t="s">
        <v>148</v>
      </c>
      <c r="C59" s="443">
        <f>SUM(C56:C58)</f>
        <v>0</v>
      </c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</row>
    <row r="60" spans="1:17" ht="15">
      <c r="A60" s="59"/>
      <c r="B60" s="62"/>
      <c r="C60" s="62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</row>
    <row r="61" spans="1:17" ht="15">
      <c r="A61" s="59"/>
      <c r="B61" s="319" t="s">
        <v>144</v>
      </c>
      <c r="C61" s="374">
        <f>+C45+C48+C53+C59</f>
        <v>-81283.100729859434</v>
      </c>
      <c r="D61" s="58"/>
      <c r="E61" s="58"/>
      <c r="F61" s="58"/>
      <c r="G61" s="319" t="s">
        <v>144</v>
      </c>
      <c r="H61" s="374">
        <f>+H41+H44+H49+H55</f>
        <v>-282216.60094961035</v>
      </c>
      <c r="I61" s="58"/>
      <c r="J61" s="58"/>
      <c r="K61" s="58"/>
      <c r="L61" s="58"/>
      <c r="M61" s="58"/>
      <c r="N61" s="58"/>
      <c r="O61" s="58"/>
      <c r="P61" s="58"/>
      <c r="Q61" s="58"/>
    </row>
    <row r="62" spans="1:17" ht="15">
      <c r="A62" s="59"/>
      <c r="B62" s="62"/>
      <c r="C62" s="62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 ht="15">
      <c r="A63" s="59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</row>
    <row r="64" spans="1:17" ht="15">
      <c r="A64" s="59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</row>
    <row r="65" spans="1:29" s="12" customFormat="1" ht="15">
      <c r="A65" s="101">
        <v>2</v>
      </c>
      <c r="B65" s="94" t="s">
        <v>364</v>
      </c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</row>
    <row r="66" spans="1:29" ht="15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</row>
    <row r="67" spans="1:29" ht="15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</row>
    <row r="68" spans="1:29" ht="15">
      <c r="A68" s="59"/>
      <c r="B68" s="58"/>
      <c r="C68" s="291"/>
      <c r="D68" s="570"/>
      <c r="E68" s="570"/>
      <c r="F68" s="570"/>
      <c r="G68" s="570"/>
      <c r="H68" s="570"/>
      <c r="I68" s="570"/>
      <c r="J68" s="570"/>
      <c r="K68" s="570"/>
      <c r="L68" s="571"/>
      <c r="M68" s="58"/>
      <c r="N68" s="58"/>
      <c r="O68" s="58"/>
      <c r="P68" s="58"/>
      <c r="Q68" s="58"/>
    </row>
    <row r="69" spans="1:29" ht="15">
      <c r="A69" s="59"/>
      <c r="B69" s="58"/>
      <c r="C69" s="572" t="s">
        <v>116</v>
      </c>
      <c r="D69" s="269">
        <f>C61</f>
        <v>-81283.100729859434</v>
      </c>
      <c r="E69" s="270">
        <v>5.0000000000000001E-3</v>
      </c>
      <c r="F69" s="270">
        <v>0.01</v>
      </c>
      <c r="G69" s="270">
        <v>1.4999999999999999E-2</v>
      </c>
      <c r="H69" s="270">
        <v>0.02</v>
      </c>
      <c r="I69" s="270">
        <v>2.5000000000000001E-2</v>
      </c>
      <c r="J69" s="270">
        <v>0.03</v>
      </c>
      <c r="K69" s="270">
        <v>3.5000000000000003E-2</v>
      </c>
      <c r="L69" s="270">
        <v>0.04</v>
      </c>
      <c r="M69" s="58"/>
      <c r="N69" s="58"/>
      <c r="O69" s="58"/>
      <c r="P69" s="58"/>
      <c r="Q69" s="58"/>
    </row>
    <row r="70" spans="1:29" ht="15">
      <c r="A70" s="59"/>
      <c r="B70" s="58"/>
      <c r="C70" s="573"/>
      <c r="D70" s="271">
        <v>0.15</v>
      </c>
      <c r="E70" s="272">
        <f t="dataTable" ref="E70:L82" dt2D="1" dtr="1" r1="C10" r2="C9"/>
        <v>1678351.6229976611</v>
      </c>
      <c r="F70" s="272">
        <v>1814279.7026842283</v>
      </c>
      <c r="G70" s="272">
        <v>1960276.5290142437</v>
      </c>
      <c r="H70" s="272">
        <v>2117503.8804465691</v>
      </c>
      <c r="I70" s="272">
        <v>2287309.4199934802</v>
      </c>
      <c r="J70" s="272">
        <v>2471265.421169301</v>
      </c>
      <c r="K70" s="272">
        <v>2671217.5963604096</v>
      </c>
      <c r="L70" s="272">
        <v>2889347.2420234382</v>
      </c>
      <c r="M70" s="58"/>
      <c r="N70" s="58"/>
      <c r="O70" s="58"/>
      <c r="P70" s="58"/>
      <c r="Q70" s="58"/>
    </row>
    <row r="71" spans="1:29" ht="15">
      <c r="A71" s="59"/>
      <c r="B71" s="58"/>
      <c r="C71" s="573"/>
      <c r="D71" s="271">
        <v>0.16</v>
      </c>
      <c r="E71" s="272">
        <v>1393058.0423827039</v>
      </c>
      <c r="F71" s="272">
        <v>1509701.9242605676</v>
      </c>
      <c r="G71" s="272">
        <v>1634390.2117851793</v>
      </c>
      <c r="H71" s="272">
        <v>1767984.8055615511</v>
      </c>
      <c r="I71" s="272">
        <v>1911475.295173208</v>
      </c>
      <c r="J71" s="272">
        <v>2066003.5147549931</v>
      </c>
      <c r="K71" s="272">
        <v>2232893.9919033209</v>
      </c>
      <c r="L71" s="272">
        <v>2413692.0088140098</v>
      </c>
      <c r="M71" s="58"/>
      <c r="N71" s="58"/>
      <c r="O71" s="58"/>
      <c r="P71" s="58"/>
      <c r="Q71" s="58"/>
    </row>
    <row r="72" spans="1:29" ht="15">
      <c r="A72" s="59"/>
      <c r="B72" s="58"/>
      <c r="C72" s="573"/>
      <c r="D72" s="271">
        <v>0.17</v>
      </c>
      <c r="E72" s="272">
        <v>1145985.7611111654</v>
      </c>
      <c r="F72" s="272">
        <v>1246963.4088720684</v>
      </c>
      <c r="G72" s="272">
        <v>1354455.7435852857</v>
      </c>
      <c r="H72" s="272">
        <v>1469114.2339460533</v>
      </c>
      <c r="I72" s="272">
        <v>1591680.2064006645</v>
      </c>
      <c r="J72" s="272">
        <v>1723000.8911734638</v>
      </c>
      <c r="K72" s="272">
        <v>1864049.034077581</v>
      </c>
      <c r="L72" s="272">
        <v>2015947.0341281695</v>
      </c>
      <c r="M72" s="58"/>
      <c r="N72" s="58"/>
      <c r="O72" s="58"/>
      <c r="P72" s="58"/>
      <c r="Q72" s="58"/>
    </row>
    <row r="73" spans="1:29" ht="15">
      <c r="A73" s="59"/>
      <c r="B73" s="58"/>
      <c r="C73" s="573"/>
      <c r="D73" s="271">
        <v>0.18</v>
      </c>
      <c r="E73" s="272">
        <v>930476.34893369582</v>
      </c>
      <c r="F73" s="272">
        <v>1018571.0762125216</v>
      </c>
      <c r="G73" s="272">
        <v>1112004.8778718812</v>
      </c>
      <c r="H73" s="272">
        <v>1211278.2921349518</v>
      </c>
      <c r="I73" s="272">
        <v>1316956.4428020907</v>
      </c>
      <c r="J73" s="272">
        <v>1429679.8035137067</v>
      </c>
      <c r="K73" s="272">
        <v>1550177.1891019843</v>
      </c>
      <c r="L73" s="272">
        <v>1679281.5308037126</v>
      </c>
      <c r="M73" s="58"/>
      <c r="N73" s="58"/>
      <c r="O73" s="58"/>
      <c r="P73" s="58"/>
      <c r="Q73" s="58"/>
    </row>
    <row r="74" spans="1:29" ht="15">
      <c r="A74" s="59"/>
      <c r="B74" s="58"/>
      <c r="C74" s="573"/>
      <c r="D74" s="271">
        <v>0.19</v>
      </c>
      <c r="E74" s="272">
        <v>741315.01060997159</v>
      </c>
      <c r="F74" s="272">
        <v>818701.07204727246</v>
      </c>
      <c r="G74" s="272">
        <v>900509.1941381332</v>
      </c>
      <c r="H74" s="272">
        <v>987129.55870492687</v>
      </c>
      <c r="I74" s="272">
        <v>1078999.6423363744</v>
      </c>
      <c r="J74" s="272">
        <v>1176611.6061947879</v>
      </c>
      <c r="K74" s="272">
        <v>1280521.1161085826</v>
      </c>
      <c r="L74" s="272">
        <v>1391357.9266832971</v>
      </c>
      <c r="M74" s="58"/>
      <c r="N74" s="58"/>
      <c r="O74" s="58"/>
      <c r="P74" s="58"/>
      <c r="Q74" s="58"/>
    </row>
    <row r="75" spans="1:29" ht="15">
      <c r="A75" s="59"/>
      <c r="B75" s="58"/>
      <c r="C75" s="573"/>
      <c r="D75" s="271">
        <v>0.2</v>
      </c>
      <c r="E75" s="272">
        <v>574360.24255972193</v>
      </c>
      <c r="F75" s="272">
        <v>642759.31238513323</v>
      </c>
      <c r="G75" s="272">
        <v>714855.62922813394</v>
      </c>
      <c r="H75" s="272">
        <v>790957.29700685735</v>
      </c>
      <c r="I75" s="272">
        <v>871407.63151579327</v>
      </c>
      <c r="J75" s="272">
        <v>956590.33864290197</v>
      </c>
      <c r="K75" s="272">
        <v>1046935.6340807441</v>
      </c>
      <c r="L75" s="272">
        <v>1142927.5104834524</v>
      </c>
      <c r="M75" s="58"/>
      <c r="N75" s="58"/>
      <c r="O75" s="58"/>
      <c r="P75" s="58"/>
      <c r="Q75" s="58"/>
    </row>
    <row r="76" spans="1:29" ht="15">
      <c r="A76" s="59"/>
      <c r="B76" s="58"/>
      <c r="C76" s="573"/>
      <c r="D76" s="271">
        <v>0.21</v>
      </c>
      <c r="E76" s="272">
        <v>426281.89229954057</v>
      </c>
      <c r="F76" s="272">
        <v>487073.87427673698</v>
      </c>
      <c r="G76" s="272">
        <v>550983.39379122457</v>
      </c>
      <c r="H76" s="273">
        <v>618256.57222752855</v>
      </c>
      <c r="I76" s="272">
        <v>689166.13868741621</v>
      </c>
      <c r="J76" s="272">
        <v>764015.12550618616</v>
      </c>
      <c r="K76" s="272">
        <v>843141.19728602911</v>
      </c>
      <c r="L76" s="272">
        <v>926921.74387645093</v>
      </c>
      <c r="M76" s="58"/>
      <c r="N76" s="58"/>
      <c r="O76" s="58"/>
      <c r="P76" s="58"/>
      <c r="Q76" s="409"/>
      <c r="R76" s="292"/>
      <c r="S76" s="292"/>
      <c r="T76" s="292"/>
      <c r="Y76" s="410"/>
      <c r="Z76" s="410"/>
      <c r="AA76" s="410"/>
      <c r="AB76" s="410"/>
      <c r="AC76" s="410"/>
    </row>
    <row r="77" spans="1:29" ht="20">
      <c r="A77" s="59"/>
      <c r="B77" s="58"/>
      <c r="C77" s="573"/>
      <c r="D77" s="271">
        <v>0.22</v>
      </c>
      <c r="E77" s="272">
        <v>294372.32615002501</v>
      </c>
      <c r="F77" s="272">
        <v>348675.28376310179</v>
      </c>
      <c r="G77" s="272">
        <v>405627.16613779124</v>
      </c>
      <c r="H77" s="272">
        <v>465426.64263121644</v>
      </c>
      <c r="I77" s="272">
        <v>528292.75894481642</v>
      </c>
      <c r="J77" s="272">
        <v>594467.61822229018</v>
      </c>
      <c r="K77" s="272">
        <v>664219.49692016793</v>
      </c>
      <c r="L77" s="272">
        <v>737846.47999015078</v>
      </c>
      <c r="M77" s="58"/>
      <c r="N77" s="58"/>
      <c r="O77" s="389"/>
      <c r="P77" s="391"/>
      <c r="Q77" s="391"/>
      <c r="R77" s="391"/>
      <c r="S77" s="391"/>
      <c r="T77" s="391"/>
      <c r="U77" s="391"/>
      <c r="V77" s="391"/>
      <c r="W77" s="391"/>
      <c r="X77" s="391"/>
      <c r="Y77" s="391"/>
      <c r="Z77" s="391"/>
      <c r="AA77" s="391"/>
    </row>
    <row r="78" spans="1:29" ht="20">
      <c r="A78" s="59"/>
      <c r="B78" s="58"/>
      <c r="C78" s="573"/>
      <c r="D78" s="271">
        <v>0.23</v>
      </c>
      <c r="E78" s="272">
        <v>176407.95989886858</v>
      </c>
      <c r="F78" s="272">
        <v>225136.73316694959</v>
      </c>
      <c r="G78" s="272">
        <v>276131.96100563835</v>
      </c>
      <c r="H78" s="272">
        <v>329555.53302712273</v>
      </c>
      <c r="I78" s="272">
        <v>385585.13295209338</v>
      </c>
      <c r="J78" s="272">
        <v>444416.21287331311</v>
      </c>
      <c r="K78" s="272">
        <v>506264.27125203121</v>
      </c>
      <c r="L78" s="272">
        <v>571367.49059805041</v>
      </c>
      <c r="M78" s="58"/>
      <c r="N78" s="58"/>
      <c r="O78" s="389"/>
      <c r="P78" s="392"/>
      <c r="Q78" s="411"/>
      <c r="R78" s="394"/>
      <c r="S78" s="394"/>
      <c r="T78" s="395"/>
      <c r="U78" s="395"/>
      <c r="V78" s="395"/>
      <c r="W78" s="395"/>
      <c r="X78" s="412"/>
      <c r="Y78" s="396"/>
      <c r="Z78" s="396"/>
      <c r="AA78" s="396"/>
      <c r="AB78" s="410"/>
      <c r="AC78" s="410"/>
    </row>
    <row r="79" spans="1:29" ht="20">
      <c r="A79" s="59"/>
      <c r="B79" s="58"/>
      <c r="C79" s="573"/>
      <c r="D79" s="271">
        <v>0.24</v>
      </c>
      <c r="E79" s="272">
        <v>70546.150226544589</v>
      </c>
      <c r="F79" s="272">
        <v>114455.98788848403</v>
      </c>
      <c r="G79" s="272">
        <v>160317.3738909536</v>
      </c>
      <c r="H79" s="272">
        <v>208263.3683480816</v>
      </c>
      <c r="I79" s="272">
        <v>258439.40905902907</v>
      </c>
      <c r="J79" s="272">
        <v>311004.78504192643</v>
      </c>
      <c r="K79" s="272">
        <v>366134.32570691616</v>
      </c>
      <c r="L79" s="272">
        <v>424020.34340515616</v>
      </c>
      <c r="M79" s="58"/>
      <c r="N79" s="58"/>
      <c r="O79" s="389"/>
      <c r="P79" s="392"/>
      <c r="Q79" s="411"/>
      <c r="R79" s="394"/>
      <c r="S79" s="394"/>
      <c r="T79" s="395"/>
      <c r="U79" s="395"/>
      <c r="V79" s="395"/>
      <c r="W79" s="395"/>
      <c r="X79" s="412"/>
      <c r="Y79" s="396"/>
      <c r="Z79" s="396"/>
      <c r="AA79" s="396"/>
      <c r="AB79" s="410"/>
      <c r="AC79" s="410"/>
    </row>
    <row r="80" spans="1:29" ht="20">
      <c r="A80" s="59"/>
      <c r="B80" s="58"/>
      <c r="C80" s="573"/>
      <c r="D80" s="271">
        <v>0.25</v>
      </c>
      <c r="E80" s="272">
        <v>-24752.656592149986</v>
      </c>
      <c r="F80" s="272">
        <v>14966.822845404502</v>
      </c>
      <c r="G80" s="272">
        <v>56376.4928973231</v>
      </c>
      <c r="H80" s="272">
        <v>99586.583386281738</v>
      </c>
      <c r="I80" s="272">
        <v>144717.12234141631</v>
      </c>
      <c r="J80" s="272">
        <v>191899.04943087534</v>
      </c>
      <c r="K80" s="272">
        <v>241275.48475705297</v>
      </c>
      <c r="L80" s="272">
        <v>293003.17890828731</v>
      </c>
      <c r="M80" s="58"/>
      <c r="N80" s="58"/>
      <c r="O80" s="389"/>
      <c r="P80" s="392"/>
      <c r="Q80" s="411"/>
      <c r="R80" s="394"/>
      <c r="S80" s="394"/>
      <c r="T80" s="395"/>
      <c r="U80" s="395"/>
      <c r="V80" s="395"/>
      <c r="W80" s="395"/>
      <c r="X80" s="412"/>
      <c r="Y80" s="396"/>
      <c r="Z80" s="396"/>
      <c r="AA80" s="396"/>
      <c r="AB80" s="410"/>
      <c r="AC80" s="410"/>
    </row>
    <row r="81" spans="1:29" ht="20">
      <c r="A81" s="59"/>
      <c r="B81" s="58"/>
      <c r="C81" s="573"/>
      <c r="D81" s="271">
        <v>0.26</v>
      </c>
      <c r="E81" s="272">
        <v>-110784.45244850847</v>
      </c>
      <c r="F81" s="272">
        <v>-74728.280119573465</v>
      </c>
      <c r="G81" s="272">
        <v>-37200.427287416765</v>
      </c>
      <c r="H81" s="272">
        <v>1891.0860794133041</v>
      </c>
      <c r="I81" s="272">
        <v>42646.068100150675</v>
      </c>
      <c r="J81" s="272">
        <v>85173.00586092053</v>
      </c>
      <c r="K81" s="272">
        <v>129590.02974439086</v>
      </c>
      <c r="L81" s="272">
        <v>176026.00925892848</v>
      </c>
      <c r="M81" s="58"/>
      <c r="N81" s="58"/>
      <c r="O81" s="389"/>
      <c r="P81" s="392"/>
      <c r="Q81" s="411"/>
      <c r="R81" s="394"/>
      <c r="S81" s="394"/>
      <c r="T81" s="395"/>
      <c r="U81" s="395"/>
      <c r="V81" s="395"/>
      <c r="W81" s="395"/>
      <c r="X81" s="412"/>
      <c r="Y81" s="396"/>
      <c r="Z81" s="396"/>
      <c r="AA81" s="396"/>
      <c r="AB81" s="410"/>
      <c r="AC81" s="410"/>
    </row>
    <row r="82" spans="1:29" ht="20">
      <c r="A82" s="59"/>
      <c r="B82" s="58"/>
      <c r="C82" s="574"/>
      <c r="D82" s="271">
        <v>0.27</v>
      </c>
      <c r="E82" s="272">
        <v>-188647.71213164832</v>
      </c>
      <c r="F82" s="272">
        <v>-155809.89830708457</v>
      </c>
      <c r="G82" s="272">
        <v>-121684.3270776358</v>
      </c>
      <c r="H82" s="272">
        <v>-86193.732999008847</v>
      </c>
      <c r="I82" s="272">
        <v>-49254.543243703898</v>
      </c>
      <c r="J82" s="272">
        <v>-10776.220581927104</v>
      </c>
      <c r="K82" s="272">
        <v>29339.47751226509</v>
      </c>
      <c r="L82" s="272">
        <v>71199.33639316191</v>
      </c>
      <c r="M82" s="58"/>
      <c r="N82" s="58"/>
      <c r="O82" s="389"/>
      <c r="P82" s="392"/>
      <c r="Q82" s="411"/>
      <c r="R82" s="394"/>
      <c r="S82" s="394"/>
      <c r="T82" s="395"/>
      <c r="U82" s="395"/>
      <c r="V82" s="395"/>
      <c r="W82" s="395"/>
      <c r="X82" s="412"/>
      <c r="Y82" s="396"/>
      <c r="Z82" s="396"/>
      <c r="AA82" s="396"/>
      <c r="AB82" s="410"/>
      <c r="AC82" s="410"/>
    </row>
    <row r="83" spans="1:29" ht="20">
      <c r="A83" s="59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389"/>
      <c r="P83" s="392"/>
      <c r="Q83" s="411"/>
      <c r="R83" s="394"/>
      <c r="S83" s="394"/>
      <c r="T83" s="395"/>
      <c r="U83" s="395"/>
      <c r="V83" s="395"/>
      <c r="W83" s="395"/>
      <c r="X83" s="412"/>
      <c r="Y83" s="396"/>
      <c r="Z83" s="396"/>
      <c r="AA83" s="396"/>
      <c r="AB83" s="410"/>
      <c r="AC83" s="410"/>
    </row>
    <row r="84" spans="1:29" ht="20">
      <c r="A84" s="59"/>
      <c r="B84" s="58"/>
      <c r="C84" s="274" t="s">
        <v>365</v>
      </c>
      <c r="D84" s="275">
        <f>G77-C61</f>
        <v>486910.26686765067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389"/>
      <c r="P84" s="392"/>
      <c r="Q84" s="411"/>
      <c r="R84" s="394"/>
      <c r="S84" s="394"/>
      <c r="T84" s="395"/>
      <c r="U84" s="395"/>
      <c r="V84" s="395"/>
      <c r="W84" s="395"/>
      <c r="X84" s="412"/>
      <c r="Y84" s="396"/>
      <c r="Z84" s="396"/>
      <c r="AA84" s="396"/>
      <c r="AB84" s="410"/>
      <c r="AC84" s="410"/>
    </row>
    <row r="85" spans="1:29" ht="20">
      <c r="A85" s="59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389"/>
      <c r="P85" s="392"/>
      <c r="Q85" s="411"/>
      <c r="R85" s="394"/>
      <c r="S85" s="394"/>
      <c r="T85" s="395"/>
      <c r="U85" s="395"/>
      <c r="V85" s="395"/>
      <c r="W85" s="395"/>
      <c r="X85" s="412"/>
      <c r="Y85" s="396"/>
      <c r="Z85" s="396"/>
      <c r="AA85" s="396"/>
      <c r="AB85" s="410"/>
      <c r="AC85" s="410"/>
    </row>
    <row r="86" spans="1:29" ht="20">
      <c r="A86" s="59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389"/>
      <c r="P86" s="392"/>
      <c r="Q86" s="411"/>
      <c r="R86" s="394"/>
      <c r="S86" s="394"/>
      <c r="T86" s="395"/>
      <c r="U86" s="395"/>
      <c r="V86" s="395"/>
      <c r="W86" s="395"/>
      <c r="X86" s="412"/>
      <c r="Y86" s="396"/>
      <c r="Z86" s="396"/>
      <c r="AA86" s="396"/>
      <c r="AB86" s="410"/>
      <c r="AC86" s="410"/>
    </row>
    <row r="87" spans="1:29" ht="20">
      <c r="A87" s="59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389"/>
      <c r="P87" s="392"/>
      <c r="Q87" s="411"/>
      <c r="R87" s="394"/>
      <c r="S87" s="394"/>
      <c r="T87" s="395"/>
      <c r="U87" s="395"/>
      <c r="V87" s="395"/>
      <c r="W87" s="395"/>
      <c r="X87" s="412"/>
      <c r="Y87" s="396"/>
      <c r="Z87" s="396"/>
      <c r="AA87" s="396"/>
      <c r="AB87" s="410"/>
      <c r="AC87" s="410"/>
    </row>
    <row r="88" spans="1:29" ht="20">
      <c r="A88" s="59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389"/>
      <c r="P88" s="392"/>
      <c r="Q88" s="411"/>
      <c r="R88" s="394"/>
      <c r="S88" s="394"/>
      <c r="T88" s="395"/>
      <c r="U88" s="395"/>
      <c r="V88" s="395"/>
      <c r="W88" s="395"/>
      <c r="X88" s="412"/>
      <c r="Y88" s="396"/>
      <c r="Z88" s="396"/>
      <c r="AA88" s="396"/>
      <c r="AB88" s="410"/>
      <c r="AC88" s="410"/>
    </row>
    <row r="89" spans="1:29" ht="20">
      <c r="A89" s="59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389"/>
      <c r="P89" s="392"/>
      <c r="Q89" s="411"/>
      <c r="R89" s="394"/>
      <c r="S89" s="394"/>
      <c r="T89" s="395"/>
      <c r="U89" s="395"/>
      <c r="V89" s="395"/>
      <c r="W89" s="395"/>
      <c r="X89" s="412"/>
      <c r="Y89" s="396"/>
      <c r="Z89" s="396"/>
      <c r="AA89" s="396"/>
      <c r="AB89" s="410"/>
      <c r="AC89" s="410"/>
    </row>
    <row r="90" spans="1:29" ht="20">
      <c r="A90" s="59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389"/>
      <c r="P90" s="392"/>
      <c r="Q90" s="411"/>
      <c r="R90" s="394"/>
      <c r="S90" s="394"/>
      <c r="T90" s="395"/>
      <c r="U90" s="395"/>
      <c r="V90" s="395"/>
      <c r="W90" s="395"/>
      <c r="X90" s="412"/>
      <c r="Y90" s="396"/>
      <c r="Z90" s="396"/>
      <c r="AA90" s="396"/>
      <c r="AB90" s="410"/>
      <c r="AC90" s="410"/>
    </row>
    <row r="91" spans="1:29" ht="20">
      <c r="A91" s="59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389"/>
      <c r="P91" s="392"/>
      <c r="Q91" s="411"/>
      <c r="R91" s="394"/>
      <c r="S91" s="394"/>
      <c r="T91" s="395"/>
      <c r="U91" s="395"/>
      <c r="V91" s="395"/>
      <c r="W91" s="395"/>
      <c r="X91" s="412"/>
      <c r="Y91" s="396"/>
      <c r="Z91" s="396"/>
      <c r="AA91" s="396"/>
      <c r="AB91" s="410"/>
      <c r="AC91" s="410"/>
    </row>
    <row r="92" spans="1:29" ht="20">
      <c r="A92" s="59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389"/>
      <c r="P92" s="392"/>
      <c r="Q92" s="411"/>
      <c r="R92" s="394"/>
      <c r="S92" s="394"/>
      <c r="T92" s="395"/>
      <c r="U92" s="395"/>
      <c r="V92" s="395"/>
      <c r="W92" s="395"/>
      <c r="X92" s="412"/>
      <c r="Y92" s="396"/>
      <c r="Z92" s="396"/>
      <c r="AA92" s="396"/>
      <c r="AB92" s="410"/>
      <c r="AC92" s="410"/>
    </row>
    <row r="93" spans="1:29" ht="20">
      <c r="A93" s="59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389"/>
      <c r="P93" s="392"/>
      <c r="Q93" s="411"/>
      <c r="R93" s="394"/>
      <c r="S93" s="394"/>
      <c r="T93" s="395"/>
      <c r="U93" s="395"/>
      <c r="V93" s="395"/>
      <c r="W93" s="395"/>
      <c r="X93" s="412"/>
      <c r="Y93" s="396"/>
      <c r="Z93" s="396"/>
      <c r="AA93" s="396"/>
      <c r="AB93" s="410"/>
      <c r="AC93" s="410"/>
    </row>
    <row r="94" spans="1:29" ht="20">
      <c r="A94" s="59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389"/>
      <c r="P94" s="392"/>
      <c r="Q94" s="411"/>
      <c r="R94" s="394"/>
      <c r="S94" s="394"/>
      <c r="T94" s="395"/>
      <c r="U94" s="395"/>
      <c r="V94" s="395"/>
      <c r="W94" s="395"/>
      <c r="X94" s="412"/>
      <c r="Y94" s="396"/>
      <c r="Z94" s="396"/>
      <c r="AA94" s="396"/>
      <c r="AB94" s="410"/>
      <c r="AC94" s="410"/>
    </row>
    <row r="95" spans="1:29" ht="20">
      <c r="A95" s="59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389"/>
      <c r="P95" s="392"/>
      <c r="Q95" s="411"/>
      <c r="R95" s="394"/>
      <c r="S95" s="394"/>
      <c r="T95" s="395"/>
      <c r="U95" s="395"/>
      <c r="V95" s="395"/>
      <c r="W95" s="395"/>
      <c r="X95" s="412"/>
      <c r="Y95" s="396"/>
      <c r="Z95" s="396"/>
      <c r="AA95" s="396"/>
      <c r="AB95" s="410"/>
      <c r="AC95" s="410"/>
    </row>
    <row r="96" spans="1:29" ht="20">
      <c r="A96" s="59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389"/>
      <c r="P96" s="392"/>
      <c r="Q96" s="411"/>
      <c r="R96" s="394"/>
      <c r="S96" s="394"/>
      <c r="T96" s="395"/>
      <c r="U96" s="395"/>
      <c r="V96" s="395"/>
      <c r="W96" s="395"/>
      <c r="X96" s="412"/>
      <c r="Y96" s="396"/>
      <c r="Z96" s="396"/>
      <c r="AA96" s="396"/>
      <c r="AB96" s="410"/>
      <c r="AC96" s="410"/>
    </row>
    <row r="97" spans="15:29" ht="20">
      <c r="O97" s="389"/>
      <c r="P97" s="392"/>
      <c r="Q97" s="411"/>
      <c r="R97" s="394"/>
      <c r="S97" s="394"/>
      <c r="T97" s="395"/>
      <c r="U97" s="395"/>
      <c r="V97" s="395"/>
      <c r="W97" s="395"/>
      <c r="X97" s="412"/>
      <c r="Y97" s="396"/>
      <c r="Z97" s="396"/>
      <c r="AA97" s="396"/>
      <c r="AB97" s="410"/>
      <c r="AC97" s="410"/>
    </row>
    <row r="98" spans="15:29" ht="20">
      <c r="O98" s="389"/>
      <c r="P98" s="392"/>
      <c r="Q98" s="411"/>
      <c r="R98" s="394"/>
      <c r="S98" s="394"/>
      <c r="T98" s="395"/>
      <c r="U98" s="395"/>
      <c r="V98" s="395"/>
      <c r="W98" s="395"/>
      <c r="X98" s="412"/>
      <c r="Y98" s="396"/>
      <c r="Z98" s="396"/>
      <c r="AA98" s="396"/>
      <c r="AB98" s="410"/>
      <c r="AC98" s="410"/>
    </row>
    <row r="99" spans="15:29" ht="20">
      <c r="O99" s="389"/>
      <c r="P99" s="392"/>
      <c r="Q99" s="411"/>
      <c r="R99" s="394"/>
      <c r="S99" s="394"/>
      <c r="T99" s="395"/>
      <c r="U99" s="395"/>
      <c r="V99" s="395"/>
      <c r="W99" s="395"/>
      <c r="X99" s="412"/>
      <c r="Y99" s="396"/>
      <c r="Z99" s="396"/>
      <c r="AA99" s="396"/>
      <c r="AB99" s="410"/>
      <c r="AC99" s="410"/>
    </row>
    <row r="100" spans="15:29" ht="20">
      <c r="O100" s="389"/>
      <c r="P100" s="392"/>
      <c r="Q100" s="411"/>
      <c r="R100" s="394"/>
      <c r="S100" s="394"/>
      <c r="T100" s="395"/>
      <c r="U100" s="395"/>
      <c r="V100" s="395"/>
      <c r="W100" s="395"/>
      <c r="X100" s="412"/>
      <c r="Y100" s="396"/>
      <c r="Z100" s="396"/>
      <c r="AA100" s="396"/>
      <c r="AB100" s="410"/>
      <c r="AC100" s="410"/>
    </row>
    <row r="101" spans="15:29" ht="20">
      <c r="O101" s="389"/>
      <c r="P101" s="392"/>
      <c r="Q101" s="411"/>
      <c r="R101" s="394"/>
      <c r="S101" s="394"/>
      <c r="T101" s="395"/>
      <c r="U101" s="395"/>
      <c r="V101" s="395"/>
      <c r="W101" s="395"/>
      <c r="X101" s="412"/>
      <c r="Y101" s="396"/>
      <c r="Z101" s="396"/>
      <c r="AA101" s="396"/>
      <c r="AB101" s="410"/>
      <c r="AC101" s="410"/>
    </row>
    <row r="102" spans="15:29" ht="20">
      <c r="O102" s="389"/>
      <c r="P102" s="392"/>
      <c r="Q102" s="411"/>
      <c r="R102" s="394"/>
      <c r="S102" s="394"/>
      <c r="T102" s="395"/>
      <c r="U102" s="395"/>
      <c r="V102" s="395"/>
      <c r="W102" s="395"/>
      <c r="X102" s="412"/>
      <c r="Y102" s="396"/>
      <c r="Z102" s="413"/>
      <c r="AA102" s="414"/>
      <c r="AB102" s="415"/>
      <c r="AC102" s="292"/>
    </row>
    <row r="103" spans="15:29" ht="20">
      <c r="O103" s="389"/>
      <c r="P103" s="392"/>
      <c r="Q103" s="411"/>
      <c r="R103" s="394"/>
      <c r="S103" s="394"/>
      <c r="T103" s="395"/>
      <c r="U103" s="395"/>
      <c r="V103" s="395"/>
      <c r="W103" s="395"/>
      <c r="X103" s="412"/>
      <c r="Y103" s="396"/>
      <c r="Z103" s="396"/>
      <c r="AA103" s="396"/>
      <c r="AB103" s="410"/>
      <c r="AC103" s="410"/>
    </row>
    <row r="104" spans="15:29" ht="20">
      <c r="O104" s="389"/>
      <c r="P104" s="397"/>
      <c r="Q104" s="397"/>
      <c r="R104" s="394"/>
      <c r="S104" s="394"/>
      <c r="T104" s="398"/>
      <c r="U104" s="398"/>
      <c r="V104" s="398"/>
      <c r="W104" s="398"/>
      <c r="X104" s="412"/>
      <c r="Y104" s="396"/>
      <c r="Z104" s="416"/>
      <c r="AA104" s="399"/>
      <c r="AB104" s="417"/>
      <c r="AC104" s="417"/>
    </row>
    <row r="105" spans="15:29" ht="20">
      <c r="O105" s="389"/>
      <c r="P105" s="392"/>
      <c r="Q105" s="411"/>
      <c r="R105" s="394"/>
      <c r="S105" s="394"/>
      <c r="T105" s="395"/>
      <c r="U105" s="395"/>
      <c r="V105" s="395"/>
      <c r="W105" s="395"/>
      <c r="X105" s="412"/>
      <c r="Y105" s="396"/>
      <c r="Z105" s="396"/>
      <c r="AA105" s="396"/>
      <c r="AB105" s="410"/>
      <c r="AC105" s="410"/>
    </row>
    <row r="106" spans="15:29" ht="20">
      <c r="O106" s="390" t="s">
        <v>603</v>
      </c>
      <c r="P106" s="400"/>
      <c r="Q106" s="394"/>
      <c r="R106" s="395"/>
      <c r="S106" s="395"/>
      <c r="T106" s="395"/>
      <c r="U106" s="395"/>
      <c r="V106" s="395"/>
      <c r="W106" s="395"/>
      <c r="X106" s="395"/>
      <c r="Y106" s="395"/>
      <c r="Z106" s="395"/>
      <c r="AA106" s="395"/>
      <c r="AB106" s="292"/>
      <c r="AC106" s="417"/>
    </row>
    <row r="107" spans="15:29" ht="20">
      <c r="O107" s="389"/>
      <c r="P107" s="393"/>
      <c r="Q107" s="393"/>
      <c r="R107" s="394"/>
      <c r="S107" s="394"/>
      <c r="T107" s="395"/>
      <c r="U107" s="395"/>
      <c r="V107" s="395"/>
      <c r="W107" s="395"/>
      <c r="X107" s="412"/>
      <c r="Y107" s="396"/>
      <c r="Z107" s="396"/>
      <c r="AA107" s="396"/>
      <c r="AB107" s="410"/>
      <c r="AC107" s="410"/>
    </row>
    <row r="108" spans="15:29" ht="20">
      <c r="O108" s="389"/>
      <c r="P108" s="401"/>
      <c r="Q108" s="411"/>
      <c r="R108" s="394"/>
      <c r="S108" s="394"/>
      <c r="T108" s="395"/>
      <c r="U108" s="395"/>
      <c r="V108" s="395"/>
      <c r="W108" s="395"/>
      <c r="X108" s="412"/>
      <c r="Y108" s="396"/>
      <c r="Z108" s="396"/>
      <c r="AA108" s="396"/>
      <c r="AB108" s="410"/>
      <c r="AC108" s="410"/>
    </row>
    <row r="109" spans="15:29" ht="20">
      <c r="O109" s="389"/>
      <c r="P109" s="392"/>
      <c r="Q109" s="411"/>
      <c r="R109" s="394"/>
      <c r="S109" s="394"/>
      <c r="T109" s="395"/>
      <c r="U109" s="395"/>
      <c r="V109" s="395"/>
      <c r="W109" s="395"/>
      <c r="X109" s="412"/>
      <c r="Y109" s="396"/>
      <c r="Z109" s="396"/>
      <c r="AA109" s="396"/>
      <c r="AB109" s="410"/>
      <c r="AC109" s="410"/>
    </row>
    <row r="110" spans="15:29" ht="20">
      <c r="O110" s="389"/>
      <c r="P110" s="402"/>
      <c r="Q110" s="403"/>
      <c r="R110" s="403"/>
      <c r="S110" s="403"/>
      <c r="T110" s="403"/>
      <c r="U110" s="418"/>
      <c r="V110" s="419"/>
      <c r="W110" s="404"/>
      <c r="X110" s="420"/>
      <c r="Y110" s="396"/>
      <c r="Z110" s="396"/>
      <c r="AA110" s="396"/>
      <c r="AB110" s="410"/>
      <c r="AC110" s="410"/>
    </row>
    <row r="111" spans="15:29" ht="20">
      <c r="O111" s="389"/>
      <c r="P111" s="402"/>
      <c r="Q111" s="405"/>
      <c r="R111" s="405"/>
      <c r="S111" s="405"/>
      <c r="T111" s="405"/>
      <c r="U111" s="418"/>
      <c r="V111" s="419"/>
      <c r="W111" s="404"/>
      <c r="X111" s="420"/>
      <c r="Y111" s="396"/>
      <c r="Z111" s="396"/>
      <c r="AA111" s="396"/>
      <c r="AB111" s="410"/>
      <c r="AC111" s="410"/>
    </row>
    <row r="112" spans="15:29" ht="20">
      <c r="O112" s="389"/>
      <c r="P112" s="402"/>
      <c r="Q112" s="421"/>
      <c r="R112" s="406"/>
      <c r="S112" s="406"/>
      <c r="T112" s="406"/>
      <c r="U112" s="422"/>
      <c r="V112" s="423"/>
      <c r="W112" s="407"/>
      <c r="X112" s="424"/>
      <c r="Y112" s="396"/>
      <c r="Z112" s="396"/>
      <c r="AA112" s="396"/>
      <c r="AB112" s="410"/>
      <c r="AC112" s="410"/>
    </row>
    <row r="113" spans="15:29" ht="20">
      <c r="O113" s="389"/>
      <c r="P113" s="402"/>
      <c r="Q113" s="421"/>
      <c r="R113" s="406"/>
      <c r="S113" s="406"/>
      <c r="T113" s="406"/>
      <c r="U113" s="422"/>
      <c r="V113" s="423"/>
      <c r="W113" s="407"/>
      <c r="X113" s="424"/>
      <c r="Y113" s="396"/>
      <c r="Z113" s="396"/>
      <c r="AA113" s="396"/>
      <c r="AB113" s="410"/>
      <c r="AC113" s="410"/>
    </row>
    <row r="114" spans="15:29" ht="20">
      <c r="O114" s="389"/>
      <c r="P114" s="402"/>
      <c r="Q114" s="425"/>
      <c r="R114" s="406"/>
      <c r="S114" s="408"/>
      <c r="T114" s="406"/>
      <c r="U114" s="422"/>
      <c r="V114" s="423"/>
      <c r="W114" s="407"/>
      <c r="X114" s="424"/>
      <c r="Y114" s="396"/>
      <c r="Z114" s="396"/>
      <c r="AA114" s="396"/>
      <c r="AB114" s="410"/>
      <c r="AC114" s="410"/>
    </row>
    <row r="115" spans="15:29" ht="15"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5:29">
      <c r="Q116" s="426"/>
      <c r="R116" s="427"/>
      <c r="S116" s="427"/>
      <c r="T116" s="427"/>
      <c r="U116" s="427"/>
    </row>
  </sheetData>
  <mergeCells count="2">
    <mergeCell ref="D68:L68"/>
    <mergeCell ref="C69:C82"/>
  </mergeCells>
  <conditionalFormatting sqref="E70:L8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41"/>
  <sheetViews>
    <sheetView showGridLines="0" topLeftCell="A8" workbookViewId="0">
      <selection activeCell="R31" sqref="R31"/>
    </sheetView>
  </sheetViews>
  <sheetFormatPr baseColWidth="10" defaultColWidth="8.83203125" defaultRowHeight="14"/>
  <cols>
    <col min="1" max="1" width="2.6640625" style="21" customWidth="1"/>
    <col min="2" max="2" width="40.6640625" style="16" customWidth="1"/>
    <col min="3" max="5" width="10.6640625" style="16" bestFit="1" customWidth="1"/>
    <col min="6" max="6" width="4.6640625" style="16" customWidth="1"/>
    <col min="7" max="16384" width="8.83203125" style="16"/>
  </cols>
  <sheetData>
    <row r="1" spans="1:18" s="323" customFormat="1" ht="16">
      <c r="A1" s="297" t="s">
        <v>303</v>
      </c>
      <c r="B1" s="298"/>
      <c r="C1" s="298"/>
      <c r="D1" s="298"/>
      <c r="E1" s="298"/>
      <c r="F1" s="298"/>
      <c r="G1" s="298"/>
      <c r="H1" s="298"/>
    </row>
    <row r="2" spans="1:18" s="11" customFormat="1" ht="15">
      <c r="A2" s="65"/>
      <c r="B2" s="56"/>
      <c r="C2" s="56"/>
      <c r="D2" s="56"/>
      <c r="E2" s="56"/>
      <c r="F2" s="56"/>
      <c r="G2" s="56"/>
      <c r="H2" s="56"/>
    </row>
    <row r="3" spans="1:18" s="327" customFormat="1" ht="15">
      <c r="A3" s="371">
        <v>1</v>
      </c>
      <c r="B3" s="372" t="s">
        <v>268</v>
      </c>
      <c r="C3" s="326"/>
      <c r="D3" s="326"/>
      <c r="E3" s="326"/>
      <c r="F3" s="326"/>
      <c r="G3" s="326"/>
      <c r="H3" s="326"/>
    </row>
    <row r="4" spans="1:18" s="11" customFormat="1" ht="15">
      <c r="A4" s="65"/>
      <c r="B4" s="56"/>
      <c r="C4" s="56"/>
      <c r="D4" s="56"/>
      <c r="E4" s="56"/>
      <c r="F4" s="56"/>
      <c r="G4" s="56"/>
      <c r="H4" s="56"/>
    </row>
    <row r="5" spans="1:18" s="11" customFormat="1" ht="15">
      <c r="A5" s="65"/>
      <c r="B5" s="56"/>
      <c r="C5" s="56"/>
      <c r="D5" s="56"/>
      <c r="E5" s="56"/>
      <c r="F5" s="56"/>
      <c r="G5" s="56"/>
      <c r="H5" s="56"/>
    </row>
    <row r="6" spans="1:18" s="11" customFormat="1" ht="16" thickBot="1">
      <c r="A6" s="65"/>
      <c r="B6" s="341" t="s">
        <v>256</v>
      </c>
      <c r="C6" s="341"/>
      <c r="D6" s="56"/>
      <c r="E6" s="56"/>
      <c r="F6" s="56"/>
      <c r="G6" s="56"/>
      <c r="H6" s="56"/>
    </row>
    <row r="7" spans="1:18" s="11" customFormat="1" ht="15">
      <c r="A7" s="65"/>
      <c r="B7" s="58"/>
      <c r="C7" s="58"/>
      <c r="D7" s="56"/>
      <c r="E7" s="56"/>
      <c r="F7" s="56"/>
      <c r="G7" s="56"/>
      <c r="H7" s="56"/>
    </row>
    <row r="8" spans="1:18" s="11" customFormat="1" ht="15">
      <c r="A8" s="65"/>
      <c r="B8" s="58" t="s">
        <v>257</v>
      </c>
      <c r="C8" s="511">
        <v>5</v>
      </c>
      <c r="D8" s="56"/>
      <c r="E8" s="56"/>
      <c r="F8" s="56"/>
      <c r="G8" s="56"/>
      <c r="H8" s="56"/>
    </row>
    <row r="9" spans="1:18" s="11" customFormat="1" ht="15">
      <c r="A9" s="65"/>
      <c r="B9" s="57" t="s">
        <v>258</v>
      </c>
      <c r="C9" s="511">
        <v>8</v>
      </c>
      <c r="D9" s="56"/>
      <c r="E9" s="56"/>
      <c r="F9" s="56"/>
      <c r="G9" s="56"/>
      <c r="H9" s="56"/>
    </row>
    <row r="10" spans="1:18" s="11" customFormat="1" ht="15">
      <c r="A10" s="65"/>
      <c r="B10" s="58" t="s">
        <v>259</v>
      </c>
      <c r="C10" s="511">
        <v>10</v>
      </c>
      <c r="D10" s="56"/>
      <c r="E10" s="56"/>
      <c r="F10" s="56"/>
      <c r="G10" s="56"/>
      <c r="H10" s="56"/>
    </row>
    <row r="11" spans="1:18" s="11" customFormat="1" ht="15">
      <c r="A11" s="65"/>
      <c r="B11" s="58"/>
      <c r="C11" s="58"/>
      <c r="D11" s="56"/>
      <c r="E11" s="56"/>
      <c r="F11" s="56"/>
      <c r="G11" s="56"/>
      <c r="H11" s="56"/>
    </row>
    <row r="12" spans="1:18" s="11" customFormat="1" ht="15">
      <c r="A12" s="65"/>
      <c r="B12" s="58"/>
      <c r="C12" s="58"/>
      <c r="D12" s="56"/>
      <c r="E12" s="56"/>
      <c r="F12" s="56"/>
      <c r="G12" s="56"/>
      <c r="H12" s="56"/>
    </row>
    <row r="13" spans="1:18" s="11" customFormat="1" ht="16" thickBot="1">
      <c r="A13" s="65"/>
      <c r="B13" s="341" t="s">
        <v>269</v>
      </c>
      <c r="C13" s="375" t="s">
        <v>258</v>
      </c>
      <c r="D13" s="375" t="s">
        <v>257</v>
      </c>
      <c r="E13" s="375" t="s">
        <v>259</v>
      </c>
      <c r="F13" s="56"/>
      <c r="G13" s="341" t="s">
        <v>319</v>
      </c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</row>
    <row r="14" spans="1:18" s="11" customFormat="1" ht="15">
      <c r="A14" s="65"/>
      <c r="B14" s="69" t="str">
        <f>+Assumptions!C4</f>
        <v>$ thousands</v>
      </c>
      <c r="C14" s="58"/>
      <c r="D14" s="58"/>
      <c r="E14" s="58"/>
      <c r="F14" s="56"/>
      <c r="G14" s="58"/>
      <c r="H14" s="56"/>
    </row>
    <row r="15" spans="1:18" s="11" customFormat="1" ht="15">
      <c r="A15" s="65"/>
      <c r="B15" s="58"/>
      <c r="C15" s="58"/>
      <c r="D15" s="58"/>
      <c r="E15" s="58"/>
      <c r="F15" s="56"/>
      <c r="G15" s="58"/>
      <c r="H15" s="56"/>
    </row>
    <row r="16" spans="1:18" s="11" customFormat="1" ht="15">
      <c r="A16" s="65"/>
      <c r="B16" s="72" t="s">
        <v>270</v>
      </c>
      <c r="C16" s="489">
        <f>'DCF '!$E$16</f>
        <v>365414.41940872965</v>
      </c>
      <c r="D16" s="489">
        <f>+C16</f>
        <v>365414.41940872965</v>
      </c>
      <c r="E16" s="489">
        <f>+C16</f>
        <v>365414.41940872965</v>
      </c>
      <c r="F16" s="56"/>
      <c r="G16" s="58"/>
      <c r="H16" s="56"/>
    </row>
    <row r="17" spans="1:8" s="11" customFormat="1" ht="15">
      <c r="A17" s="65"/>
      <c r="B17" s="58"/>
      <c r="C17" s="58"/>
      <c r="D17" s="58"/>
      <c r="E17" s="58"/>
      <c r="F17" s="56"/>
      <c r="G17" s="58"/>
      <c r="H17" s="56"/>
    </row>
    <row r="18" spans="1:8" s="11" customFormat="1" ht="15">
      <c r="A18" s="65"/>
      <c r="B18" s="130" t="s">
        <v>162</v>
      </c>
      <c r="C18" s="457"/>
      <c r="D18" s="457"/>
      <c r="E18" s="457"/>
      <c r="F18" s="56"/>
      <c r="G18" s="58" t="s">
        <v>589</v>
      </c>
      <c r="H18" s="56"/>
    </row>
    <row r="19" spans="1:8" s="11" customFormat="1" ht="15">
      <c r="A19" s="65"/>
      <c r="B19" s="130" t="s">
        <v>163</v>
      </c>
      <c r="C19" s="457"/>
      <c r="D19" s="457"/>
      <c r="E19" s="457"/>
      <c r="F19" s="56"/>
      <c r="G19" s="58" t="s">
        <v>590</v>
      </c>
      <c r="H19" s="56"/>
    </row>
    <row r="20" spans="1:8" s="11" customFormat="1" ht="15">
      <c r="A20" s="65"/>
      <c r="B20" s="130" t="s">
        <v>164</v>
      </c>
      <c r="C20" s="457"/>
      <c r="D20" s="457"/>
      <c r="E20" s="457"/>
      <c r="F20" s="56"/>
      <c r="G20" s="58" t="s">
        <v>591</v>
      </c>
      <c r="H20" s="56"/>
    </row>
    <row r="21" spans="1:8" s="11" customFormat="1" ht="15">
      <c r="A21" s="65"/>
      <c r="B21" s="130" t="s">
        <v>165</v>
      </c>
      <c r="C21" s="457"/>
      <c r="D21" s="457"/>
      <c r="E21" s="457"/>
      <c r="F21" s="56"/>
      <c r="G21" s="58" t="s">
        <v>592</v>
      </c>
      <c r="H21" s="56"/>
    </row>
    <row r="22" spans="1:8" s="11" customFormat="1" ht="15">
      <c r="A22" s="65"/>
      <c r="B22" s="130" t="s">
        <v>166</v>
      </c>
      <c r="C22" s="457"/>
      <c r="D22" s="457"/>
      <c r="E22" s="457"/>
      <c r="F22" s="56"/>
      <c r="G22" s="58" t="s">
        <v>593</v>
      </c>
      <c r="H22" s="56"/>
    </row>
    <row r="23" spans="1:8" s="11" customFormat="1" ht="15">
      <c r="A23" s="65"/>
      <c r="B23" s="130" t="s">
        <v>167</v>
      </c>
      <c r="C23" s="457"/>
      <c r="D23" s="457"/>
      <c r="E23" s="457"/>
      <c r="F23" s="56"/>
      <c r="G23" s="58" t="s">
        <v>594</v>
      </c>
      <c r="H23" s="56"/>
    </row>
    <row r="24" spans="1:8" s="11" customFormat="1" ht="15">
      <c r="A24" s="65"/>
      <c r="B24" s="130" t="s">
        <v>596</v>
      </c>
      <c r="C24" s="457"/>
      <c r="D24" s="457"/>
      <c r="E24" s="457"/>
      <c r="F24" s="56"/>
      <c r="G24" s="58" t="s">
        <v>595</v>
      </c>
      <c r="H24" s="56"/>
    </row>
    <row r="25" spans="1:8" s="11" customFormat="1" ht="15">
      <c r="A25" s="65"/>
      <c r="B25" s="72" t="s">
        <v>161</v>
      </c>
      <c r="C25" s="455">
        <f>SUM(C18:C24)</f>
        <v>0</v>
      </c>
      <c r="D25" s="455">
        <f>SUM(D18:D24)</f>
        <v>0</v>
      </c>
      <c r="E25" s="455">
        <f>SUM(E18:E24)</f>
        <v>0</v>
      </c>
      <c r="F25" s="56"/>
      <c r="G25" s="58"/>
      <c r="H25" s="56"/>
    </row>
    <row r="26" spans="1:8" s="11" customFormat="1" ht="15">
      <c r="A26" s="65"/>
      <c r="B26" s="58"/>
      <c r="C26" s="73"/>
      <c r="D26" s="73"/>
      <c r="E26" s="73"/>
      <c r="F26" s="56"/>
      <c r="G26" s="58"/>
      <c r="H26" s="56"/>
    </row>
    <row r="27" spans="1:8" ht="15">
      <c r="A27" s="59"/>
      <c r="B27" s="72" t="s">
        <v>168</v>
      </c>
      <c r="C27" s="455">
        <f>+C16+C25</f>
        <v>365414.41940872965</v>
      </c>
      <c r="D27" s="455">
        <f>+D16+D25</f>
        <v>365414.41940872965</v>
      </c>
      <c r="E27" s="455">
        <f>+E16+E25</f>
        <v>365414.41940872965</v>
      </c>
      <c r="F27" s="58"/>
      <c r="G27" s="58"/>
      <c r="H27" s="58"/>
    </row>
    <row r="28" spans="1:8" ht="15">
      <c r="A28" s="59"/>
      <c r="B28" s="58" t="s">
        <v>271</v>
      </c>
      <c r="C28" s="276">
        <f>+C9</f>
        <v>8</v>
      </c>
      <c r="D28" s="276">
        <f>+C8</f>
        <v>5</v>
      </c>
      <c r="E28" s="276">
        <f>+C10</f>
        <v>10</v>
      </c>
      <c r="F28" s="58"/>
      <c r="G28" s="58"/>
      <c r="H28" s="58"/>
    </row>
    <row r="29" spans="1:8" ht="15">
      <c r="A29" s="59"/>
      <c r="B29" s="72" t="s">
        <v>130</v>
      </c>
      <c r="C29" s="455">
        <f>+C27*C9</f>
        <v>2923315.3552698372</v>
      </c>
      <c r="D29" s="455">
        <f>+C8*D27</f>
        <v>1827072.0970436484</v>
      </c>
      <c r="E29" s="455">
        <f>+C10*E27</f>
        <v>3654144.1940872967</v>
      </c>
      <c r="F29" s="58"/>
      <c r="G29" s="58"/>
      <c r="H29" s="58"/>
    </row>
    <row r="30" spans="1:8" ht="15">
      <c r="A30" s="59"/>
      <c r="B30" s="58"/>
      <c r="C30" s="79"/>
      <c r="D30" s="79"/>
      <c r="E30" s="79"/>
      <c r="F30" s="58"/>
      <c r="G30" s="58"/>
      <c r="H30" s="58"/>
    </row>
    <row r="31" spans="1:8" ht="15">
      <c r="A31" s="59"/>
      <c r="B31" s="130" t="s">
        <v>169</v>
      </c>
      <c r="C31" s="474">
        <f>'Historicals &amp; Projections'!I8</f>
        <v>-3730684.6839651708</v>
      </c>
      <c r="D31" s="474">
        <f>+C31</f>
        <v>-3730684.6839651708</v>
      </c>
      <c r="E31" s="474">
        <f>+C31</f>
        <v>-3730684.6839651708</v>
      </c>
      <c r="F31" s="58"/>
      <c r="G31" s="58"/>
      <c r="H31" s="58"/>
    </row>
    <row r="32" spans="1:8" ht="15">
      <c r="A32" s="59"/>
      <c r="B32" s="130" t="s">
        <v>145</v>
      </c>
      <c r="C32" s="474">
        <f>-'DCF '!$C$48</f>
        <v>720</v>
      </c>
      <c r="D32" s="474">
        <f>+C32</f>
        <v>720</v>
      </c>
      <c r="E32" s="474">
        <f>+C32</f>
        <v>720</v>
      </c>
      <c r="F32" s="58"/>
      <c r="G32" s="58"/>
      <c r="H32" s="58"/>
    </row>
    <row r="33" spans="1:8" ht="15">
      <c r="A33" s="59"/>
      <c r="B33" s="72" t="s">
        <v>170</v>
      </c>
      <c r="C33" s="455">
        <f>+C31-C32</f>
        <v>-3731404.6839651708</v>
      </c>
      <c r="D33" s="455">
        <f>+D31-D32</f>
        <v>-3731404.6839651708</v>
      </c>
      <c r="E33" s="455">
        <f>+E31-E32</f>
        <v>-3731404.6839651708</v>
      </c>
      <c r="F33" s="58"/>
      <c r="G33" s="58"/>
      <c r="H33" s="58"/>
    </row>
    <row r="34" spans="1:8" ht="15">
      <c r="A34" s="59"/>
      <c r="B34" s="58"/>
      <c r="C34" s="79"/>
      <c r="D34" s="79"/>
      <c r="E34" s="79"/>
      <c r="F34" s="58"/>
      <c r="G34" s="58"/>
      <c r="H34" s="58"/>
    </row>
    <row r="35" spans="1:8" ht="15">
      <c r="A35" s="59"/>
      <c r="B35" s="74" t="s">
        <v>171</v>
      </c>
      <c r="C35" s="460">
        <f>+C29+C33</f>
        <v>-808089.32869533356</v>
      </c>
      <c r="D35" s="460">
        <f>+D29+D33</f>
        <v>-1904332.5869215224</v>
      </c>
      <c r="E35" s="460">
        <f>+E29+E33</f>
        <v>-77260.489877874032</v>
      </c>
      <c r="F35" s="58"/>
      <c r="G35" s="58"/>
      <c r="H35" s="58"/>
    </row>
    <row r="36" spans="1:8" ht="15">
      <c r="A36" s="59"/>
      <c r="B36" s="58"/>
      <c r="C36" s="58"/>
      <c r="D36" s="58"/>
      <c r="E36" s="58"/>
      <c r="F36" s="58"/>
      <c r="G36" s="58"/>
      <c r="H36" s="58"/>
    </row>
    <row r="37" spans="1:8" ht="15">
      <c r="A37" s="59"/>
      <c r="B37" s="58"/>
      <c r="C37" s="58"/>
      <c r="D37" s="58"/>
      <c r="E37" s="58"/>
      <c r="F37" s="58"/>
      <c r="G37" s="58"/>
      <c r="H37" s="58"/>
    </row>
    <row r="38" spans="1:8" ht="15">
      <c r="A38" s="59"/>
      <c r="B38" s="58"/>
      <c r="C38" s="58"/>
      <c r="D38" s="58"/>
      <c r="E38" s="58"/>
      <c r="F38" s="58"/>
      <c r="G38" s="58"/>
      <c r="H38" s="58"/>
    </row>
    <row r="39" spans="1:8" ht="15">
      <c r="G39" s="58"/>
    </row>
    <row r="40" spans="1:8" ht="15">
      <c r="G40" s="58"/>
    </row>
    <row r="41" spans="1:8" ht="15">
      <c r="G41" s="58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31"/>
  <sheetViews>
    <sheetView zoomScaleNormal="100" workbookViewId="0">
      <selection activeCell="E29" sqref="E29"/>
    </sheetView>
  </sheetViews>
  <sheetFormatPr baseColWidth="10" defaultColWidth="8.83203125" defaultRowHeight="14"/>
  <cols>
    <col min="1" max="1" width="2.1640625" style="35" customWidth="1"/>
    <col min="2" max="2" width="26.5" style="35" customWidth="1"/>
    <col min="3" max="3" width="9.6640625" style="34" customWidth="1"/>
    <col min="4" max="5" width="9.33203125" style="34" customWidth="1"/>
    <col min="6" max="6" width="10.83203125" style="34" customWidth="1"/>
    <col min="7" max="7" width="3.5" style="34" customWidth="1"/>
    <col min="8" max="10" width="10.5" style="35" customWidth="1"/>
    <col min="11" max="11" width="3.5" style="34" customWidth="1"/>
    <col min="12" max="14" width="11.6640625" style="35" customWidth="1"/>
    <col min="15" max="16384" width="8.83203125" style="35"/>
  </cols>
  <sheetData>
    <row r="1" spans="1:15" s="379" customFormat="1" ht="16">
      <c r="A1" s="376"/>
      <c r="B1" s="377" t="s">
        <v>272</v>
      </c>
      <c r="C1" s="378"/>
      <c r="D1" s="378"/>
      <c r="E1" s="378"/>
      <c r="F1" s="378"/>
      <c r="G1" s="378"/>
      <c r="H1" s="376"/>
      <c r="I1" s="376"/>
      <c r="J1" s="376"/>
      <c r="K1" s="378"/>
      <c r="L1" s="376"/>
      <c r="M1" s="376"/>
      <c r="N1" s="376"/>
      <c r="O1" s="376"/>
    </row>
    <row r="2" spans="1:15" ht="15">
      <c r="A2" s="277"/>
      <c r="B2" s="278"/>
      <c r="C2" s="279"/>
      <c r="D2" s="279"/>
      <c r="E2" s="279"/>
      <c r="F2" s="279"/>
      <c r="G2" s="279"/>
      <c r="H2" s="277"/>
      <c r="I2" s="277"/>
      <c r="J2" s="277"/>
      <c r="K2" s="279"/>
      <c r="L2" s="277"/>
      <c r="M2" s="277"/>
      <c r="N2" s="277"/>
      <c r="O2" s="277"/>
    </row>
    <row r="3" spans="1:15" ht="16" thickBot="1">
      <c r="A3" s="277"/>
      <c r="B3" s="280"/>
      <c r="C3" s="575" t="s">
        <v>273</v>
      </c>
      <c r="D3" s="575"/>
      <c r="E3" s="575"/>
      <c r="F3" s="575"/>
      <c r="G3" s="279"/>
      <c r="H3" s="575" t="s">
        <v>274</v>
      </c>
      <c r="I3" s="575"/>
      <c r="J3" s="575"/>
      <c r="K3" s="279"/>
      <c r="L3" s="575" t="s">
        <v>275</v>
      </c>
      <c r="M3" s="575"/>
      <c r="N3" s="575"/>
      <c r="O3" s="277"/>
    </row>
    <row r="4" spans="1:15" ht="15">
      <c r="A4" s="277"/>
      <c r="B4" s="277"/>
      <c r="C4" s="279"/>
      <c r="D4" s="279"/>
      <c r="E4" s="279"/>
      <c r="F4" s="279"/>
      <c r="G4" s="279"/>
      <c r="H4" s="277"/>
      <c r="I4" s="277"/>
      <c r="J4" s="277"/>
      <c r="K4" s="279"/>
      <c r="L4" s="277"/>
      <c r="M4" s="277"/>
      <c r="N4" s="277"/>
      <c r="O4" s="277"/>
    </row>
    <row r="5" spans="1:15" s="37" customFormat="1" ht="32">
      <c r="A5" s="281"/>
      <c r="B5" s="89" t="s">
        <v>276</v>
      </c>
      <c r="C5" s="90" t="s">
        <v>277</v>
      </c>
      <c r="D5" s="90" t="s">
        <v>278</v>
      </c>
      <c r="E5" s="90" t="s">
        <v>279</v>
      </c>
      <c r="F5" s="90" t="s">
        <v>280</v>
      </c>
      <c r="G5" s="282"/>
      <c r="H5" s="90" t="s">
        <v>246</v>
      </c>
      <c r="I5" s="90" t="s">
        <v>281</v>
      </c>
      <c r="J5" s="90" t="s">
        <v>282</v>
      </c>
      <c r="K5" s="282"/>
      <c r="L5" s="90" t="s">
        <v>283</v>
      </c>
      <c r="M5" s="90" t="s">
        <v>284</v>
      </c>
      <c r="N5" s="90" t="s">
        <v>285</v>
      </c>
      <c r="O5" s="283"/>
    </row>
    <row r="6" spans="1:15" ht="15">
      <c r="A6" s="277"/>
      <c r="B6" s="512" t="s">
        <v>600</v>
      </c>
      <c r="C6" s="513">
        <v>520</v>
      </c>
      <c r="D6" s="513">
        <v>3200</v>
      </c>
      <c r="E6" s="514">
        <v>150</v>
      </c>
      <c r="F6" s="515">
        <f>+D6+E6</f>
        <v>3350</v>
      </c>
      <c r="G6" s="279"/>
      <c r="H6" s="513">
        <v>8000</v>
      </c>
      <c r="I6" s="513">
        <v>500</v>
      </c>
      <c r="J6" s="513">
        <v>200</v>
      </c>
      <c r="K6" s="279"/>
      <c r="L6" s="516">
        <f>+F6/H6</f>
        <v>0.41875000000000001</v>
      </c>
      <c r="M6" s="516">
        <f>+F6/I6</f>
        <v>6.7</v>
      </c>
      <c r="N6" s="516">
        <f>+D6/J6</f>
        <v>16</v>
      </c>
      <c r="O6" s="284"/>
    </row>
    <row r="7" spans="1:15" ht="15">
      <c r="A7" s="277"/>
      <c r="B7" s="512" t="s">
        <v>286</v>
      </c>
      <c r="C7" s="513">
        <v>2540</v>
      </c>
      <c r="D7" s="513">
        <v>4200</v>
      </c>
      <c r="E7" s="514">
        <v>250</v>
      </c>
      <c r="F7" s="515">
        <f t="shared" ref="F7:F15" si="0">+D7+E7</f>
        <v>4450</v>
      </c>
      <c r="G7" s="279"/>
      <c r="H7" s="513">
        <v>7870</v>
      </c>
      <c r="I7" s="513">
        <v>2607.9</v>
      </c>
      <c r="J7" s="513">
        <v>111.6</v>
      </c>
      <c r="K7" s="279"/>
      <c r="L7" s="516">
        <f t="shared" ref="L7:L15" si="1">+F7/H7</f>
        <v>0.56543837357052096</v>
      </c>
      <c r="M7" s="516">
        <f t="shared" ref="M7:M15" si="2">+F7/I7</f>
        <v>1.7063537712335595</v>
      </c>
      <c r="N7" s="516">
        <f t="shared" ref="N7:N15" si="3">+D7/J7</f>
        <v>37.634408602150536</v>
      </c>
      <c r="O7" s="277"/>
    </row>
    <row r="8" spans="1:15" ht="15">
      <c r="A8" s="277"/>
      <c r="B8" s="512" t="s">
        <v>287</v>
      </c>
      <c r="C8" s="513">
        <v>750</v>
      </c>
      <c r="D8" s="513">
        <v>4250</v>
      </c>
      <c r="E8" s="514">
        <v>350</v>
      </c>
      <c r="F8" s="515">
        <f t="shared" si="0"/>
        <v>4600</v>
      </c>
      <c r="G8" s="279"/>
      <c r="H8" s="513">
        <v>773.2</v>
      </c>
      <c r="I8" s="513">
        <v>1954</v>
      </c>
      <c r="J8" s="513">
        <v>72.599999999999994</v>
      </c>
      <c r="K8" s="279"/>
      <c r="L8" s="516">
        <f t="shared" si="1"/>
        <v>5.9493016037247797</v>
      </c>
      <c r="M8" s="516">
        <f t="shared" si="2"/>
        <v>2.3541453428863868</v>
      </c>
      <c r="N8" s="516">
        <f t="shared" si="3"/>
        <v>58.539944903581272</v>
      </c>
      <c r="O8" s="277"/>
    </row>
    <row r="9" spans="1:15" ht="15">
      <c r="A9" s="277"/>
      <c r="B9" s="512" t="s">
        <v>288</v>
      </c>
      <c r="C9" s="513">
        <v>600</v>
      </c>
      <c r="D9" s="513">
        <v>3150</v>
      </c>
      <c r="E9" s="514">
        <v>50</v>
      </c>
      <c r="F9" s="515">
        <f t="shared" si="0"/>
        <v>3200</v>
      </c>
      <c r="G9" s="279"/>
      <c r="H9" s="513">
        <v>283.3</v>
      </c>
      <c r="I9" s="513">
        <v>752.7</v>
      </c>
      <c r="J9" s="513">
        <v>80.7</v>
      </c>
      <c r="K9" s="279"/>
      <c r="L9" s="516">
        <f t="shared" si="1"/>
        <v>11.295446523120367</v>
      </c>
      <c r="M9" s="516">
        <f t="shared" si="2"/>
        <v>4.2513617643151322</v>
      </c>
      <c r="N9" s="516">
        <f t="shared" si="3"/>
        <v>39.033457249070629</v>
      </c>
      <c r="O9" s="277"/>
    </row>
    <row r="10" spans="1:15" ht="15">
      <c r="A10" s="277"/>
      <c r="B10" s="512" t="s">
        <v>289</v>
      </c>
      <c r="C10" s="513">
        <v>350</v>
      </c>
      <c r="D10" s="513">
        <v>3180</v>
      </c>
      <c r="E10" s="514">
        <v>60</v>
      </c>
      <c r="F10" s="515">
        <f t="shared" si="0"/>
        <v>3240</v>
      </c>
      <c r="G10" s="279"/>
      <c r="H10" s="513">
        <v>242.4</v>
      </c>
      <c r="I10" s="513">
        <v>712</v>
      </c>
      <c r="J10" s="513">
        <v>20.100000000000001</v>
      </c>
      <c r="K10" s="279"/>
      <c r="L10" s="516">
        <f t="shared" si="1"/>
        <v>13.366336633663366</v>
      </c>
      <c r="M10" s="516">
        <f t="shared" si="2"/>
        <v>4.5505617977528088</v>
      </c>
      <c r="N10" s="516">
        <f t="shared" si="3"/>
        <v>158.20895522388059</v>
      </c>
      <c r="O10" s="277"/>
    </row>
    <row r="11" spans="1:15" ht="15">
      <c r="A11" s="277"/>
      <c r="B11" s="512" t="s">
        <v>290</v>
      </c>
      <c r="C11" s="513">
        <v>1500</v>
      </c>
      <c r="D11" s="513">
        <v>2800</v>
      </c>
      <c r="E11" s="514">
        <v>15</v>
      </c>
      <c r="F11" s="515">
        <f t="shared" si="0"/>
        <v>2815</v>
      </c>
      <c r="G11" s="279"/>
      <c r="H11" s="513">
        <v>4233.7</v>
      </c>
      <c r="I11" s="513">
        <v>924.2</v>
      </c>
      <c r="J11" s="513">
        <v>70.5</v>
      </c>
      <c r="K11" s="279"/>
      <c r="L11" s="516">
        <f t="shared" si="1"/>
        <v>0.66490303989418242</v>
      </c>
      <c r="M11" s="516">
        <f t="shared" si="2"/>
        <v>3.0458775156892446</v>
      </c>
      <c r="N11" s="516">
        <f t="shared" si="3"/>
        <v>39.716312056737586</v>
      </c>
      <c r="O11" s="277"/>
    </row>
    <row r="12" spans="1:15" ht="15">
      <c r="A12" s="277"/>
      <c r="B12" s="512" t="s">
        <v>291</v>
      </c>
      <c r="C12" s="513">
        <v>1200</v>
      </c>
      <c r="D12" s="513">
        <v>3000</v>
      </c>
      <c r="E12" s="514">
        <v>15</v>
      </c>
      <c r="F12" s="515">
        <f t="shared" si="0"/>
        <v>3015</v>
      </c>
      <c r="G12" s="279"/>
      <c r="H12" s="513">
        <v>952.1</v>
      </c>
      <c r="I12" s="513">
        <v>516.9</v>
      </c>
      <c r="J12" s="513">
        <v>96</v>
      </c>
      <c r="K12" s="279"/>
      <c r="L12" s="516">
        <f t="shared" si="1"/>
        <v>3.1666841718306902</v>
      </c>
      <c r="M12" s="516">
        <f t="shared" si="2"/>
        <v>5.8328496807893213</v>
      </c>
      <c r="N12" s="516">
        <f t="shared" si="3"/>
        <v>31.25</v>
      </c>
      <c r="O12" s="277"/>
    </row>
    <row r="13" spans="1:15" ht="15">
      <c r="A13" s="277"/>
      <c r="B13" s="512" t="s">
        <v>292</v>
      </c>
      <c r="C13" s="513">
        <v>352</v>
      </c>
      <c r="D13" s="513">
        <v>2250</v>
      </c>
      <c r="E13" s="514">
        <v>160</v>
      </c>
      <c r="F13" s="515">
        <f t="shared" si="0"/>
        <v>2410</v>
      </c>
      <c r="G13" s="279"/>
      <c r="H13" s="513">
        <v>455.8</v>
      </c>
      <c r="I13" s="513">
        <v>223.2</v>
      </c>
      <c r="J13" s="513">
        <v>112</v>
      </c>
      <c r="K13" s="279"/>
      <c r="L13" s="516">
        <f t="shared" si="1"/>
        <v>5.2874067573497143</v>
      </c>
      <c r="M13" s="516">
        <f t="shared" si="2"/>
        <v>10.797491039426523</v>
      </c>
      <c r="N13" s="516">
        <f t="shared" si="3"/>
        <v>20.089285714285715</v>
      </c>
      <c r="O13" s="277"/>
    </row>
    <row r="14" spans="1:15" ht="15">
      <c r="A14" s="277"/>
      <c r="B14" s="512" t="s">
        <v>293</v>
      </c>
      <c r="C14" s="513">
        <v>285</v>
      </c>
      <c r="D14" s="513">
        <v>2365</v>
      </c>
      <c r="E14" s="514">
        <v>50</v>
      </c>
      <c r="F14" s="515">
        <f t="shared" si="0"/>
        <v>2415</v>
      </c>
      <c r="G14" s="279"/>
      <c r="H14" s="513">
        <v>2208.8000000000002</v>
      </c>
      <c r="I14" s="513">
        <v>342</v>
      </c>
      <c r="J14" s="513">
        <v>92.8</v>
      </c>
      <c r="K14" s="279"/>
      <c r="L14" s="516">
        <f t="shared" si="1"/>
        <v>1.0933538572980803</v>
      </c>
      <c r="M14" s="516">
        <f t="shared" si="2"/>
        <v>7.0614035087719298</v>
      </c>
      <c r="N14" s="516">
        <f t="shared" si="3"/>
        <v>25.484913793103448</v>
      </c>
      <c r="O14" s="277"/>
    </row>
    <row r="15" spans="1:15" ht="15">
      <c r="A15" s="277"/>
      <c r="B15" s="512" t="s">
        <v>294</v>
      </c>
      <c r="C15" s="513">
        <v>1650</v>
      </c>
      <c r="D15" s="513">
        <v>2185</v>
      </c>
      <c r="E15" s="514">
        <v>800</v>
      </c>
      <c r="F15" s="515">
        <f t="shared" si="0"/>
        <v>2985</v>
      </c>
      <c r="G15" s="279"/>
      <c r="H15" s="513">
        <v>1845.6</v>
      </c>
      <c r="I15" s="513">
        <v>578.1</v>
      </c>
      <c r="J15" s="513">
        <v>91.4</v>
      </c>
      <c r="K15" s="279"/>
      <c r="L15" s="516">
        <f t="shared" si="1"/>
        <v>1.6173602080624188</v>
      </c>
      <c r="M15" s="516">
        <f t="shared" si="2"/>
        <v>5.1634665282823038</v>
      </c>
      <c r="N15" s="516">
        <f t="shared" si="3"/>
        <v>23.905908096280086</v>
      </c>
      <c r="O15" s="284"/>
    </row>
    <row r="16" spans="1:15" ht="15">
      <c r="A16" s="277"/>
      <c r="B16" s="277"/>
      <c r="C16" s="279"/>
      <c r="D16" s="279"/>
      <c r="E16" s="279"/>
      <c r="F16" s="279"/>
      <c r="G16" s="279"/>
      <c r="H16" s="277"/>
      <c r="I16" s="277"/>
      <c r="J16" s="285"/>
      <c r="K16" s="279"/>
      <c r="L16" s="277"/>
      <c r="M16" s="277"/>
      <c r="N16" s="277"/>
      <c r="O16" s="277"/>
    </row>
    <row r="17" spans="1:15" ht="15">
      <c r="A17" s="277"/>
      <c r="B17" s="517" t="s">
        <v>259</v>
      </c>
      <c r="C17" s="518"/>
      <c r="D17" s="519"/>
      <c r="E17" s="520"/>
      <c r="F17" s="520"/>
      <c r="G17" s="518"/>
      <c r="H17" s="517"/>
      <c r="I17" s="517"/>
      <c r="J17" s="521"/>
      <c r="K17" s="518"/>
      <c r="L17" s="522">
        <f>+MAX(L6:L15)</f>
        <v>13.366336633663366</v>
      </c>
      <c r="M17" s="522">
        <f>+MAX(M6:M15)</f>
        <v>10.797491039426523</v>
      </c>
      <c r="N17" s="522">
        <f>+MAX(N6:N15)</f>
        <v>158.20895522388059</v>
      </c>
      <c r="O17" s="277"/>
    </row>
    <row r="18" spans="1:15" ht="15">
      <c r="A18" s="277"/>
      <c r="B18" s="523" t="s">
        <v>295</v>
      </c>
      <c r="C18" s="518"/>
      <c r="D18" s="518"/>
      <c r="E18" s="518"/>
      <c r="F18" s="518"/>
      <c r="G18" s="518"/>
      <c r="H18" s="517"/>
      <c r="I18" s="517"/>
      <c r="J18" s="517"/>
      <c r="K18" s="518"/>
      <c r="L18" s="522">
        <f>+MEDIAN(L10,L9,L13,L8,L12)</f>
        <v>5.9493016037247797</v>
      </c>
      <c r="M18" s="522">
        <f>+MEDIAN(M13,M6,M14,M12,M15)</f>
        <v>6.7</v>
      </c>
      <c r="N18" s="522">
        <f>+MEDIAN(N10,N8,N11,N9,N7)</f>
        <v>39.716312056737586</v>
      </c>
      <c r="O18" s="277"/>
    </row>
    <row r="19" spans="1:15" s="38" customFormat="1" ht="15">
      <c r="A19" s="286"/>
      <c r="B19" s="524" t="s">
        <v>296</v>
      </c>
      <c r="C19" s="525"/>
      <c r="D19" s="525"/>
      <c r="E19" s="525"/>
      <c r="F19" s="525"/>
      <c r="G19" s="525"/>
      <c r="H19" s="524"/>
      <c r="I19" s="524"/>
      <c r="J19" s="524"/>
      <c r="K19" s="525"/>
      <c r="L19" s="526">
        <f>+AVERAGE(L6:L15)</f>
        <v>4.3424981168514121</v>
      </c>
      <c r="M19" s="526">
        <f>+AVERAGE(M6:M15)</f>
        <v>5.1463510949147224</v>
      </c>
      <c r="N19" s="526">
        <f>+AVERAGE(N6:N15)</f>
        <v>44.986318563908988</v>
      </c>
      <c r="O19" s="286"/>
    </row>
    <row r="20" spans="1:15" s="38" customFormat="1" ht="15">
      <c r="A20" s="286"/>
      <c r="B20" s="524" t="s">
        <v>297</v>
      </c>
      <c r="C20" s="525"/>
      <c r="D20" s="525"/>
      <c r="E20" s="525"/>
      <c r="F20" s="525"/>
      <c r="G20" s="525"/>
      <c r="H20" s="524"/>
      <c r="I20" s="524"/>
      <c r="J20" s="524"/>
      <c r="K20" s="525"/>
      <c r="L20" s="526">
        <f>+MEDIAN(L6:L15)</f>
        <v>2.3920221899465544</v>
      </c>
      <c r="M20" s="526">
        <f>+MEDIAN(M6:M15)</f>
        <v>4.8570141630175563</v>
      </c>
      <c r="N20" s="526">
        <f>+MEDIAN(N6:N15)</f>
        <v>34.442204301075265</v>
      </c>
      <c r="O20" s="286"/>
    </row>
    <row r="21" spans="1:15" ht="15">
      <c r="A21" s="277"/>
      <c r="B21" s="523" t="s">
        <v>298</v>
      </c>
      <c r="C21" s="518"/>
      <c r="D21" s="518"/>
      <c r="E21" s="518"/>
      <c r="F21" s="518"/>
      <c r="G21" s="518"/>
      <c r="H21" s="517"/>
      <c r="I21" s="517"/>
      <c r="J21" s="517"/>
      <c r="K21" s="518"/>
      <c r="L21" s="522">
        <f>+MEDIAN(L6,L7,L11,L14,L15)</f>
        <v>0.66490303989418242</v>
      </c>
      <c r="M21" s="522">
        <f>+MEDIAN(M7:M11)</f>
        <v>3.0458775156892446</v>
      </c>
      <c r="N21" s="522">
        <f>+MEDIAN(N6,N12,N13,N14,N15)</f>
        <v>23.905908096280086</v>
      </c>
      <c r="O21" s="277"/>
    </row>
    <row r="22" spans="1:15" ht="15">
      <c r="A22" s="277"/>
      <c r="B22" s="517" t="s">
        <v>299</v>
      </c>
      <c r="C22" s="518"/>
      <c r="D22" s="518"/>
      <c r="E22" s="518"/>
      <c r="F22" s="518"/>
      <c r="G22" s="518"/>
      <c r="H22" s="517"/>
      <c r="I22" s="517"/>
      <c r="J22" s="517"/>
      <c r="K22" s="518"/>
      <c r="L22" s="522">
        <f>+MIN(L6:L15)</f>
        <v>0.41875000000000001</v>
      </c>
      <c r="M22" s="522">
        <f>+MIN(M6:M15)</f>
        <v>1.7063537712335595</v>
      </c>
      <c r="N22" s="522">
        <f>+MIN(N6:N15)</f>
        <v>16</v>
      </c>
      <c r="O22" s="277"/>
    </row>
    <row r="23" spans="1:15" ht="15">
      <c r="A23" s="277"/>
      <c r="B23" s="277"/>
      <c r="C23" s="279"/>
      <c r="D23" s="279"/>
      <c r="E23" s="279"/>
      <c r="F23" s="279"/>
      <c r="G23" s="279"/>
      <c r="H23" s="277"/>
      <c r="I23" s="277"/>
      <c r="J23" s="277"/>
      <c r="K23" s="279"/>
      <c r="L23" s="277"/>
      <c r="M23" s="277"/>
      <c r="N23" s="277"/>
      <c r="O23" s="277"/>
    </row>
    <row r="24" spans="1:15" s="38" customFormat="1" ht="15">
      <c r="A24" s="286"/>
      <c r="B24" s="287" t="s">
        <v>300</v>
      </c>
      <c r="C24" s="287"/>
      <c r="D24" s="287"/>
      <c r="E24" s="287"/>
      <c r="F24" s="287"/>
      <c r="G24" s="287"/>
      <c r="H24" s="287"/>
      <c r="I24" s="287"/>
      <c r="J24" s="287"/>
      <c r="K24" s="287"/>
      <c r="L24" s="288" t="s">
        <v>283</v>
      </c>
      <c r="M24" s="288" t="s">
        <v>284</v>
      </c>
      <c r="N24" s="288" t="s">
        <v>285</v>
      </c>
      <c r="O24" s="286"/>
    </row>
    <row r="25" spans="1:15" ht="15">
      <c r="A25" s="277"/>
      <c r="B25" s="277"/>
      <c r="C25" s="279"/>
      <c r="D25" s="279"/>
      <c r="E25" s="279"/>
      <c r="F25" s="279"/>
      <c r="G25" s="279"/>
      <c r="H25" s="277"/>
      <c r="I25" s="277"/>
      <c r="J25" s="277"/>
      <c r="K25" s="279"/>
      <c r="L25" s="289"/>
      <c r="M25" s="289"/>
      <c r="N25" s="289"/>
      <c r="O25" s="277"/>
    </row>
    <row r="26" spans="1:15" ht="15">
      <c r="A26" s="277"/>
      <c r="B26" s="517" t="s">
        <v>301</v>
      </c>
      <c r="C26" s="518"/>
      <c r="D26" s="518"/>
      <c r="E26" s="518"/>
      <c r="F26" s="518"/>
      <c r="G26" s="518"/>
      <c r="H26" s="517"/>
      <c r="I26" s="517"/>
      <c r="J26" s="517"/>
      <c r="K26" s="518"/>
      <c r="L26" s="511">
        <v>5250</v>
      </c>
      <c r="M26" s="511">
        <v>1200</v>
      </c>
      <c r="N26" s="511">
        <v>500</v>
      </c>
      <c r="O26" s="277"/>
    </row>
    <row r="27" spans="1:15" s="38" customFormat="1" ht="15">
      <c r="A27" s="286"/>
      <c r="B27" s="524" t="s">
        <v>302</v>
      </c>
      <c r="C27" s="525"/>
      <c r="D27" s="525"/>
      <c r="E27" s="525"/>
      <c r="F27" s="525"/>
      <c r="G27" s="525"/>
      <c r="H27" s="524"/>
      <c r="I27" s="524"/>
      <c r="J27" s="524"/>
      <c r="K27" s="525"/>
      <c r="L27" s="527">
        <f>+L29+L28</f>
        <v>12558.116497219411</v>
      </c>
      <c r="M27" s="527">
        <f>+M29+M28</f>
        <v>5828.4169956210671</v>
      </c>
      <c r="N27" s="527">
        <f>+N29+N28</f>
        <v>17221.102150537634</v>
      </c>
      <c r="O27" s="286"/>
    </row>
    <row r="28" spans="1:15" ht="15">
      <c r="A28" s="277"/>
      <c r="B28" s="517" t="s">
        <v>279</v>
      </c>
      <c r="C28" s="518"/>
      <c r="D28" s="518"/>
      <c r="E28" s="518"/>
      <c r="F28" s="518"/>
      <c r="G28" s="518"/>
      <c r="H28" s="517"/>
      <c r="I28" s="517"/>
      <c r="J28" s="517"/>
      <c r="K28" s="518"/>
      <c r="L28" s="521">
        <v>150</v>
      </c>
      <c r="M28" s="521">
        <v>150</v>
      </c>
      <c r="N28" s="521">
        <v>150</v>
      </c>
      <c r="O28" s="277"/>
    </row>
    <row r="29" spans="1:15" s="38" customFormat="1" ht="15">
      <c r="A29" s="286"/>
      <c r="B29" s="528" t="s">
        <v>304</v>
      </c>
      <c r="C29" s="529"/>
      <c r="D29" s="529"/>
      <c r="E29" s="529"/>
      <c r="F29" s="529"/>
      <c r="G29" s="529"/>
      <c r="H29" s="528"/>
      <c r="I29" s="528"/>
      <c r="J29" s="528"/>
      <c r="K29" s="529"/>
      <c r="L29" s="530">
        <f>L20*L26-L28</f>
        <v>12408.116497219411</v>
      </c>
      <c r="M29" s="530">
        <f>M20*M26-M28</f>
        <v>5678.4169956210671</v>
      </c>
      <c r="N29" s="530">
        <f>N20*N26-N28</f>
        <v>17071.102150537634</v>
      </c>
      <c r="O29" s="286"/>
    </row>
    <row r="30" spans="1:15" ht="15">
      <c r="A30" s="277"/>
      <c r="B30" s="277"/>
      <c r="C30" s="279"/>
      <c r="D30" s="279"/>
      <c r="E30" s="279"/>
      <c r="F30" s="279"/>
      <c r="G30" s="279"/>
      <c r="H30" s="277"/>
      <c r="I30" s="277"/>
      <c r="J30" s="277"/>
      <c r="K30" s="279"/>
      <c r="L30" s="277"/>
      <c r="M30" s="277"/>
      <c r="N30" s="277"/>
      <c r="O30" s="277"/>
    </row>
    <row r="31" spans="1:15" ht="15">
      <c r="A31" s="277"/>
      <c r="B31" s="277"/>
      <c r="C31" s="279"/>
      <c r="D31" s="279"/>
      <c r="E31" s="279"/>
      <c r="F31" s="279"/>
      <c r="G31" s="279"/>
      <c r="H31" s="277"/>
      <c r="I31" s="277"/>
      <c r="J31" s="277"/>
      <c r="K31" s="279"/>
      <c r="L31" s="277"/>
      <c r="M31" s="277"/>
      <c r="N31" s="277"/>
      <c r="O31" s="277"/>
    </row>
  </sheetData>
  <mergeCells count="3">
    <mergeCell ref="C3:F3"/>
    <mergeCell ref="H3:J3"/>
    <mergeCell ref="L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ToC</vt:lpstr>
      <vt:lpstr>Instructions</vt:lpstr>
      <vt:lpstr>MC</vt:lpstr>
      <vt:lpstr>Assumptions</vt:lpstr>
      <vt:lpstr>Historicals &amp; Projections</vt:lpstr>
      <vt:lpstr>Ratio Analysis</vt:lpstr>
      <vt:lpstr>Revenue &amp; COGS Building</vt:lpstr>
      <vt:lpstr>Salaries &amp; Headcount</vt:lpstr>
      <vt:lpstr>Overheads</vt:lpstr>
      <vt:lpstr>NWC</vt:lpstr>
      <vt:lpstr>TA </vt:lpstr>
      <vt:lpstr>IA</vt:lpstr>
      <vt:lpstr>OTH</vt:lpstr>
      <vt:lpstr>FIN</vt:lpstr>
      <vt:lpstr>Income Tax</vt:lpstr>
      <vt:lpstr>PL</vt:lpstr>
      <vt:lpstr>BS</vt:lpstr>
      <vt:lpstr>CF</vt:lpstr>
      <vt:lpstr>VA</vt:lpstr>
      <vt:lpstr>RAP</vt:lpstr>
      <vt:lpstr>EBITDA KPIs</vt:lpstr>
      <vt:lpstr>BEA</vt:lpstr>
      <vt:lpstr>WACC</vt:lpstr>
      <vt:lpstr>DCF </vt:lpstr>
      <vt:lpstr>Multiples Valuation</vt:lpstr>
      <vt:lpstr>Comparables Valuation</vt:lpstr>
      <vt:lpstr>Date_Year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MELBOURNE TAUYA NYAMADZAWO</cp:lastModifiedBy>
  <dcterms:created xsi:type="dcterms:W3CDTF">2023-06-29T09:04:55Z</dcterms:created>
  <dcterms:modified xsi:type="dcterms:W3CDTF">2026-04-14T09:07:29Z</dcterms:modified>
</cp:coreProperties>
</file>